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drawings/drawing1.xml" ContentType="application/vnd.openxmlformats-officedocument.drawing+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Inputs" sheetId="2" state="visible" r:id="rId2"/>
    <sheet xmlns:r="http://schemas.openxmlformats.org/officeDocument/2006/relationships" name="Assets" sheetId="3" state="visible" r:id="rId3"/>
    <sheet xmlns:r="http://schemas.openxmlformats.org/officeDocument/2006/relationships" name="Readiness" sheetId="4" state="visible" r:id="rId4"/>
    <sheet xmlns:r="http://schemas.openxmlformats.org/officeDocument/2006/relationships" name="Resilience" sheetId="5" state="visible" r:id="rId5"/>
    <sheet xmlns:r="http://schemas.openxmlformats.org/officeDocument/2006/relationships" name="Model settings" sheetId="6" state="visible" r:id="rId6"/>
    <sheet xmlns:r="http://schemas.openxmlformats.org/officeDocument/2006/relationships" name="Results" sheetId="7" state="visible" r:id="rId7"/>
    <sheet xmlns:r="http://schemas.openxmlformats.org/officeDocument/2006/relationships" name="Exposure analysis" sheetId="8" state="visible" r:id="rId8"/>
    <sheet xmlns:r="http://schemas.openxmlformats.org/officeDocument/2006/relationships" name="Charts" sheetId="9" state="visible" r:id="rId9"/>
    <sheet xmlns:r="http://schemas.openxmlformats.org/officeDocument/2006/relationships" name="Recommendations" sheetId="10" state="visible" r:id="rId10"/>
    <sheet xmlns:r="http://schemas.openxmlformats.org/officeDocument/2006/relationships" name="Detection checklist" sheetId="11" state="visible" r:id="rId11"/>
    <sheet xmlns:r="http://schemas.openxmlformats.org/officeDocument/2006/relationships" name="Sources" sheetId="12" state="visible" r:id="rId12"/>
  </sheets>
  <definedNames/>
  <calcPr calcId="124519" fullCalcOnLoad="1"/>
</workbook>
</file>

<file path=xl/styles.xml><?xml version="1.0" encoding="utf-8"?>
<styleSheet xmlns="http://schemas.openxmlformats.org/spreadsheetml/2006/main">
  <numFmts count="6">
    <numFmt numFmtId="164" formatCode="&quot;$&quot;#,##0"/>
    <numFmt numFmtId="165" formatCode="&quot;$&quot;#,##0.00"/>
    <numFmt numFmtId="166" formatCode="0.##"/>
    <numFmt numFmtId="167" formatCode="0.0%"/>
    <numFmt numFmtId="168" formatCode="0.000"/>
    <numFmt numFmtId="169" formatCode="0.000%"/>
  </numFmts>
  <fonts count="5">
    <font>
      <name val="Calibri"/>
      <family val="2"/>
      <color theme="1"/>
      <sz val="11"/>
      <scheme val="minor"/>
    </font>
    <font>
      <b val="1"/>
      <sz val="14"/>
    </font>
    <font>
      <sz val="11"/>
    </font>
    <font>
      <b val="1"/>
      <sz val="11"/>
    </font>
    <font>
      <b val="1"/>
    </font>
  </fonts>
  <fills count="4">
    <fill>
      <patternFill/>
    </fill>
    <fill>
      <patternFill patternType="gray125"/>
    </fill>
    <fill>
      <patternFill patternType="solid">
        <fgColor rgb="00FFF2CC"/>
      </patternFill>
    </fill>
    <fill>
      <patternFill patternType="solid">
        <fgColor rgb="00D9E1F2"/>
      </patternFill>
    </fill>
  </fills>
  <borders count="1">
    <border>
      <left/>
      <right/>
      <top/>
      <bottom/>
      <diagonal/>
    </border>
  </borders>
  <cellStyleXfs count="1">
    <xf numFmtId="0" fontId="0" fillId="0" borderId="0"/>
  </cellStyleXfs>
  <cellXfs count="22">
    <xf numFmtId="0" fontId="0" fillId="0" borderId="0" pivotButton="0" quotePrefix="0" xfId="0"/>
    <xf numFmtId="0" fontId="1" fillId="0" borderId="0" applyAlignment="1" pivotButton="0" quotePrefix="0" xfId="0">
      <alignment vertical="top" wrapText="1"/>
    </xf>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164" fontId="0" fillId="2" borderId="0" pivotButton="0" quotePrefix="0" xfId="0"/>
    <xf numFmtId="0" fontId="0" fillId="0" borderId="0" applyAlignment="1" pivotButton="0" quotePrefix="0" xfId="0">
      <alignment vertical="top" wrapText="1"/>
    </xf>
    <xf numFmtId="0" fontId="0" fillId="2" borderId="0" pivotButton="0" quotePrefix="0" xfId="0"/>
    <xf numFmtId="1" fontId="0" fillId="2" borderId="0" pivotButton="0" quotePrefix="0" xfId="0"/>
    <xf numFmtId="3" fontId="0" fillId="2" borderId="0" pivotButton="0" quotePrefix="0" xfId="0"/>
    <xf numFmtId="165" fontId="0" fillId="2" borderId="0" pivotButton="0" quotePrefix="0" xfId="0"/>
    <xf numFmtId="0" fontId="4" fillId="3" borderId="0" pivotButton="0" quotePrefix="0" xfId="0"/>
    <xf numFmtId="166" fontId="0" fillId="2" borderId="0" pivotButton="0" quotePrefix="0" xfId="0"/>
    <xf numFmtId="1" fontId="0" fillId="0" borderId="0" pivotButton="0" quotePrefix="0" xfId="0"/>
    <xf numFmtId="166" fontId="0" fillId="0" borderId="0" pivotButton="0" quotePrefix="0" xfId="0"/>
    <xf numFmtId="164" fontId="0" fillId="0" borderId="0" pivotButton="0" quotePrefix="0" xfId="0"/>
    <xf numFmtId="167" fontId="0" fillId="2" borderId="0" pivotButton="0" quotePrefix="0" xfId="0"/>
    <xf numFmtId="2" fontId="0" fillId="2" borderId="0" pivotButton="0" quotePrefix="0" xfId="0"/>
    <xf numFmtId="168" fontId="0" fillId="0" borderId="0" pivotButton="0" quotePrefix="0" xfId="0"/>
    <xf numFmtId="167" fontId="0" fillId="0" borderId="0" pivotButton="0" quotePrefix="0" xfId="0"/>
    <xf numFmtId="2" fontId="0" fillId="0" borderId="0" pivotButton="0" quotePrefix="0" xfId="0"/>
    <xf numFmtId="16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Asset value vs exposure</a:t>
            </a:r>
          </a:p>
        </rich>
      </tx>
    </title>
    <plotArea>
      <barChart>
        <barDir val="col"/>
        <grouping val="clustered"/>
        <ser>
          <idx val="0"/>
          <order val="0"/>
          <tx>
            <strRef>
              <f>'Exposure analysis'!B3</f>
            </strRef>
          </tx>
          <spPr>
            <a:ln xmlns:a="http://schemas.openxmlformats.org/drawingml/2006/main">
              <a:prstDash val="solid"/>
            </a:ln>
          </spPr>
          <cat>
            <numRef>
              <f>'Exposure analysis'!$A$4:$A$8</f>
            </numRef>
          </cat>
          <val>
            <numRef>
              <f>'Exposure analysis'!$B$4:$B$8</f>
            </numRef>
          </val>
        </ser>
        <ser>
          <idx val="1"/>
          <order val="1"/>
          <tx>
            <strRef>
              <f>'Exposure analysis'!C3</f>
            </strRef>
          </tx>
          <spPr>
            <a:ln xmlns:a="http://schemas.openxmlformats.org/drawingml/2006/main">
              <a:prstDash val="solid"/>
            </a:ln>
          </spPr>
          <cat>
            <numRef>
              <f>'Exposure analysis'!$A$4:$A$8</f>
            </numRef>
          </cat>
          <val>
            <numRef>
              <f>'Exposure analysis'!$C$4:$C$8</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USD</a:t>
                </a:r>
              </a:p>
            </rich>
          </tx>
        </title>
        <numFmt formatCode="&quot;$&quot;#,##0" sourceLinked="0"/>
        <majorTickMark val="none"/>
        <minorTickMark val="none"/>
        <crossAx val="10"/>
      </valAx>
    </plotArea>
    <legend>
      <legendPos val="r"/>
    </legend>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What one incident would cost (likely case)</a:t>
            </a:r>
          </a:p>
        </rich>
      </tx>
    </title>
    <plotArea>
      <barChart>
        <barDir val="col"/>
        <grouping val="clustered"/>
        <ser>
          <idx val="0"/>
          <order val="0"/>
          <tx>
            <strRef>
              <f>'Results'!E24</f>
            </strRef>
          </tx>
          <spPr>
            <a:ln xmlns:a="http://schemas.openxmlformats.org/drawingml/2006/main">
              <a:prstDash val="solid"/>
            </a:ln>
          </spPr>
          <cat>
            <numRef>
              <f>'Results'!$D$25:$D$30</f>
            </numRef>
          </cat>
          <val>
            <numRef>
              <f>'Results'!$E$25:$E$30</f>
            </numRef>
          </val>
        </ser>
        <gapWidth val="150"/>
        <axId val="10"/>
        <axId val="100"/>
      </barChart>
      <catAx>
        <axId val="10"/>
        <scaling>
          <orientation val="minMax"/>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USD</a:t>
                </a:r>
              </a:p>
            </rich>
          </tx>
        </title>
        <numFmt formatCode="&quot;$&quot;#,##0" sourceLinked="0"/>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Largest modelled differences (about, per year)</a:t>
            </a:r>
          </a:p>
        </rich>
      </tx>
    </title>
    <plotArea>
      <barChart>
        <barDir val="bar"/>
        <grouping val="clustered"/>
        <ser>
          <idx val="0"/>
          <order val="0"/>
          <tx>
            <strRef>
              <f>'Results'!C24</f>
            </strRef>
          </tx>
          <spPr>
            <a:ln xmlns:a="http://schemas.openxmlformats.org/drawingml/2006/main">
              <a:prstDash val="solid"/>
            </a:ln>
          </spPr>
          <cat>
            <numRef>
              <f>'Results'!$B$25:$B$29</f>
            </numRef>
          </cat>
          <val>
            <numRef>
              <f>'Results'!$C$25:$C$29</f>
            </numRef>
          </val>
        </ser>
        <gapWidth val="150"/>
        <axId val="10"/>
        <axId val="100"/>
      </barChart>
      <catAx>
        <axId val="10"/>
        <scaling>
          <orientation val="maxMin"/>
        </scaling>
        <delete val="0"/>
        <axPos val="l"/>
        <majorTickMark val="none"/>
        <minorTickMark val="none"/>
        <crossAx val="100"/>
        <lblOffset val="100"/>
      </catAx>
      <valAx>
        <axId val="100"/>
        <scaling>
          <orientation val="minMax"/>
        </scaling>
        <delete val="0"/>
        <axPos val="l"/>
        <majorGridlines/>
        <title>
          <tx>
            <rich>
              <a:bodyPr xmlns:a="http://schemas.openxmlformats.org/drawingml/2006/main"/>
              <a:p xmlns:a="http://schemas.openxmlformats.org/drawingml/2006/main">
                <a:pPr>
                  <a:defRPr/>
                </a:pPr>
                <a:r>
                  <a:t>USD</a:t>
                </a:r>
              </a:p>
            </rich>
          </tx>
        </title>
        <numFmt formatCode="&quot;$&quot;#,##0" sourceLinked="0"/>
        <majorTickMark val="none"/>
        <minorTickMark val="none"/>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chart" Target="/xl/charts/chart3.xml" Id="rId3"/></Relationships>
</file>

<file path=xl/drawings/drawing1.xml><?xml version="1.0" encoding="utf-8"?>
<wsDr xmlns="http://schemas.openxmlformats.org/drawingml/2006/spreadsheetDrawing">
  <oneCellAnchor>
    <from>
      <col>0</col>
      <colOff>0</colOff>
      <row>2</row>
      <rowOff>0</rowOff>
    </from>
    <ext cx="6480000" cy="306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0</col>
      <colOff>0</colOff>
      <row>20</row>
      <rowOff>0</rowOff>
    </from>
    <ext cx="6480000" cy="306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0</col>
      <colOff>0</colOff>
      <row>38</row>
      <rowOff>0</rowOff>
    </from>
    <ext cx="6480000" cy="3600000"/>
    <graphicFrame>
      <nvGraphicFramePr>
        <cNvPr id="3" name="Chart 3"/>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3"/>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cyphrq.com/pillars/tools-protect/" TargetMode="External" Id="rId1"/><Relationship Type="http://schemas.openxmlformats.org/officeDocument/2006/relationships/hyperlink" Target="https://cyphrq.com/pillars/tools-protect/" TargetMode="External" Id="rId2"/><Relationship Type="http://schemas.openxmlformats.org/officeDocument/2006/relationships/hyperlink" Target="https://cyphrq.com/pillars/tools-protect/" TargetMode="External" Id="rId3"/><Relationship Type="http://schemas.openxmlformats.org/officeDocument/2006/relationships/hyperlink" Target="https://cyphrq.com/pillars/tools-detect/" TargetMode="External" Id="rId4"/><Relationship Type="http://schemas.openxmlformats.org/officeDocument/2006/relationships/hyperlink" Target="https://cyphrq.com/pillars/tools-protect/" TargetMode="External" Id="rId5"/><Relationship Type="http://schemas.openxmlformats.org/officeDocument/2006/relationships/hyperlink" Target="https://cyphrq.com/pillars/tools-identify/" TargetMode="External" Id="rId6"/><Relationship Type="http://schemas.openxmlformats.org/officeDocument/2006/relationships/hyperlink" Target="https://cyphrq.com/pillars/tools-protect/" TargetMode="External" Id="rId7"/><Relationship Type="http://schemas.openxmlformats.org/officeDocument/2006/relationships/hyperlink" Target="https://cyphrq.com/pillars/tools-protect/" TargetMode="External" Id="rId8"/><Relationship Type="http://schemas.openxmlformats.org/officeDocument/2006/relationships/hyperlink" Target="https://cyphrq.com/pillars/awareness/" TargetMode="External" Id="rId9"/><Relationship Type="http://schemas.openxmlformats.org/officeDocument/2006/relationships/hyperlink" Target="https://cyphrq.com/pillars/tools-respond/" TargetMode="External" Id="rId10"/><Relationship Type="http://schemas.openxmlformats.org/officeDocument/2006/relationships/hyperlink" Target="https://cyphrq.com/pillars/tools-respond/" TargetMode="External" Id="rId11"/><Relationship Type="http://schemas.openxmlformats.org/officeDocument/2006/relationships/hyperlink" Target="https://cyphrq.com/pillars/tools-respond/" TargetMode="External" Id="rId12"/><Relationship Type="http://schemas.openxmlformats.org/officeDocument/2006/relationships/hyperlink" Target="https://cyphrq.com/pillars/tools-respond/" TargetMode="External" Id="rId13"/><Relationship Type="http://schemas.openxmlformats.org/officeDocument/2006/relationships/hyperlink" Target="https://cyphrq.com/pillars/tools-detect/" TargetMode="External" Id="rId14"/><Relationship Type="http://schemas.openxmlformats.org/officeDocument/2006/relationships/hyperlink" Target="https://cyphrq.com/pillars/tools-protect/" TargetMode="External" Id="rId15"/></Relationships>
</file>

<file path=xl/worksheets/_rels/sheet9.xml.rels><Relationships xmlns="http://schemas.openxmlformats.org/package/2006/relationships"><Relationship Type="http://schemas.openxmlformats.org/officeDocument/2006/relationships/drawing" Target="/xl/drawings/drawing1.xml" Id="rId1"/></Relationships>
</file>

<file path=xl/worksheets/_rels/sheet11.xml.rels><Relationships xmlns="http://schemas.openxmlformats.org/package/2006/relationships"><Relationship Type="http://schemas.openxmlformats.org/officeDocument/2006/relationships/hyperlink" Target="https://cyphrq.com/pillars/tools-identify/" TargetMode="External" Id="rId1"/><Relationship Type="http://schemas.openxmlformats.org/officeDocument/2006/relationships/hyperlink" Target="https://cyphrq.com/pillars/tools-identify/" TargetMode="External" Id="rId2"/><Relationship Type="http://schemas.openxmlformats.org/officeDocument/2006/relationships/hyperlink" Target="https://cyphrq.com/pillars/tools-identify/" TargetMode="External" Id="rId3"/><Relationship Type="http://schemas.openxmlformats.org/officeDocument/2006/relationships/hyperlink" Target="https://cyphrq.com/pillars/tools-identify/" TargetMode="External" Id="rId4"/><Relationship Type="http://schemas.openxmlformats.org/officeDocument/2006/relationships/hyperlink" Target="https://cyphrq.com/pillars/tools-protect/" TargetMode="External" Id="rId5"/><Relationship Type="http://schemas.openxmlformats.org/officeDocument/2006/relationships/hyperlink" Target="https://cyphrq.com/pillars/tools-protect/" TargetMode="External" Id="rId6"/><Relationship Type="http://schemas.openxmlformats.org/officeDocument/2006/relationships/hyperlink" Target="https://cyphrq.com/pillars/tools-protect/" TargetMode="External" Id="rId7"/><Relationship Type="http://schemas.openxmlformats.org/officeDocument/2006/relationships/hyperlink" Target="https://cyphrq.com/pillars/tools-protect/" TargetMode="External" Id="rId8"/><Relationship Type="http://schemas.openxmlformats.org/officeDocument/2006/relationships/hyperlink" Target="https://cyphrq.com/pillars/tools-protect/" TargetMode="External" Id="rId9"/><Relationship Type="http://schemas.openxmlformats.org/officeDocument/2006/relationships/hyperlink" Target="https://cyphrq.com/pillars/awareness/" TargetMode="External" Id="rId10"/><Relationship Type="http://schemas.openxmlformats.org/officeDocument/2006/relationships/hyperlink" Target="https://cyphrq.com/pillars/tools-detect/" TargetMode="External" Id="rId11"/><Relationship Type="http://schemas.openxmlformats.org/officeDocument/2006/relationships/hyperlink" Target="https://cyphrq.com/pillars/tools-detect/" TargetMode="External" Id="rId12"/><Relationship Type="http://schemas.openxmlformats.org/officeDocument/2006/relationships/hyperlink" Target="https://cyphrq.com/pillars/tools-detect/" TargetMode="External" Id="rId13"/><Relationship Type="http://schemas.openxmlformats.org/officeDocument/2006/relationships/hyperlink" Target="https://cyphrq.com/pillars/tools-respond/" TargetMode="External" Id="rId14"/><Relationship Type="http://schemas.openxmlformats.org/officeDocument/2006/relationships/hyperlink" Target="https://cyphrq.com/pillars/tools-respond/" TargetMode="External" Id="rId15"/><Relationship Type="http://schemas.openxmlformats.org/officeDocument/2006/relationships/hyperlink" Target="https://cyphrq.com/pillars/tools-respond/" TargetMode="External" Id="rId16"/><Relationship Type="http://schemas.openxmlformats.org/officeDocument/2006/relationships/hyperlink" Target="https://cyphrq.com/pillars/tools-respond/" TargetMode="External" Id="rId17"/><Relationship Type="http://schemas.openxmlformats.org/officeDocument/2006/relationships/hyperlink" Target="https://cyphrq.com/pillars/tools-respond/" TargetMode="External" Id="rId18"/><Relationship Type="http://schemas.openxmlformats.org/officeDocument/2006/relationships/hyperlink" Target="https://cyphrq.com/pillars/tools-respond/" TargetMode="External" Id="rId19"/></Relationships>
</file>

<file path=xl/worksheets/_rels/sheet12.xml.rels><Relationships xmlns="http://schemas.openxmlformats.org/package/2006/relationships"><Relationship Type="http://schemas.openxmlformats.org/officeDocument/2006/relationships/hyperlink" Target="https://www.cyentia.com/wp-content/uploads/2026/03/IRIS-2025.pdf" TargetMode="External" Id="rId1"/><Relationship Type="http://schemas.openxmlformats.org/officeDocument/2006/relationships/hyperlink" Target="https://www.verizon.com/business/resources/Te3/reports/2026-dbir-data-breach-investigations-report.pdf" TargetMode="External" Id="rId2"/><Relationship Type="http://schemas.openxmlformats.org/officeDocument/2006/relationships/hyperlink" Target="https://nvlpubs.nist.gov/nistpubs/ir/2025/NIST.IR.8286r1.pdf" TargetMode="External" Id="rId3"/><Relationship Type="http://schemas.openxmlformats.org/officeDocument/2006/relationships/hyperlink" Target="https://nvlpubs.nist.gov/nistpubs/ir/2025/NIST.IR.8286Ar1.pdf" TargetMode="External" Id="rId4"/><Relationship Type="http://schemas.openxmlformats.org/officeDocument/2006/relationships/hyperlink" Target="https://www.tmhcc.com/en-us/-/media/project/tokio-marine/tmhcc-us/documents/cplg_teorna-062026.pdf" TargetMode="External" Id="rId5"/></Relationships>
</file>

<file path=xl/worksheets/sheet1.xml><?xml version="1.0" encoding="utf-8"?>
<worksheet xmlns="http://schemas.openxmlformats.org/spreadsheetml/2006/main">
  <sheetPr>
    <outlinePr summaryBelow="1" summaryRight="1"/>
    <pageSetUpPr/>
  </sheetPr>
  <dimension ref="A1:A12"/>
  <sheetViews>
    <sheetView workbookViewId="0">
      <selection activeCell="A1" sqref="A1"/>
    </sheetView>
  </sheetViews>
  <sheetFormatPr baseColWidth="8" defaultRowHeight="15"/>
  <cols>
    <col width="110" customWidth="1" min="1" max="1"/>
  </cols>
  <sheetData>
    <row r="1">
      <c r="A1" s="1" t="inlineStr">
        <is>
          <t>CyphrQ breach value calculator</t>
        </is>
      </c>
    </row>
    <row r="2">
      <c r="A2" s="2" t="inlineStr">
        <is>
          <t>Version 1.3, 2026-10-27. Source: https://cyphrq.com/tools/breach-value/</t>
        </is>
      </c>
    </row>
    <row r="3">
      <c r="A3" s="2" t="inlineStr"/>
    </row>
    <row r="4">
      <c r="A4" s="2" t="inlineStr">
        <is>
          <t>Purpose: estimate what a data breach could cost your business, and which security gaps matter most.</t>
        </is>
      </c>
    </row>
    <row r="5">
      <c r="A5" s="2" t="inlineStr">
        <is>
          <t>How to use: 1) fill the shaded cells on Inputs; 2) list up to 5 critical assets on Assets; 3) answer Yes or No on Readiness; 4) optionally fill Resilience (recovery objectives, backups, continuity tests; per-asset RTO and RPO sit on Assets); 5) read Results, Exposure analysis, Charts and Recommendations. Model settings holds every multiplier and base rate; you can change them.</t>
        </is>
      </c>
    </row>
    <row r="6">
      <c r="A6" s="2" t="inlineStr">
        <is>
          <t>This file is pre-filled with a worked example (a mid-size manufacturer with weak controls). Replace the shaded cells with your own figures.</t>
        </is>
      </c>
    </row>
    <row r="7">
      <c r="A7" s="2" t="inlineStr">
        <is>
          <t>Method: expected loss = chance of an incident x size of the loss, with low, likely and high estimates averaged into a weighted scenario average, (low + 4 x likely + high) / 6 (NIST IR 8286A Rev. 1, section 2.3.2.2; NIST describes the method and has not validated this calculator).</t>
        </is>
      </c>
    </row>
    <row r="8">
      <c r="A8" s="2" t="inlineStr">
        <is>
          <t>Low, likely and high are illustrative scenarios (low = 25% of the published median, likely = published median, high = published 95th percentile), not a statistical distribution or confidence interval. The weighted scenario average is (low + 4 x likely + high) / 6. For your own scenario, low, likely and high are your figures.</t>
        </is>
      </c>
    </row>
    <row r="9">
      <c r="A9" s="2" t="inlineStr">
        <is>
          <t>Blank is not zero: a blank required cost input shows 'Incomplete' and no estimate for your scenario; type 0 if a cost is genuinely none. Readiness answers are Yes, No or Unknown; Unknown counts as No. Negative, non-numeric or out-of-order entries show 'Check inputs' and blank the results.</t>
        </is>
      </c>
    </row>
    <row r="10">
      <c r="A10" s="2" t="inlineStr">
        <is>
          <t>Multipliers are our assumptions, not validated or insurer pricing. Nothing you type here is sent anywhere.</t>
        </is>
      </c>
    </row>
    <row r="11">
      <c r="A11" s="2" t="inlineStr"/>
    </row>
    <row r="12">
      <c r="A12" s="3" t="inlineStr">
        <is>
          <t>Estimates for planning and insurance conversations. Not insurance, legal or financial advice.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46" customWidth="1" min="1" max="1"/>
    <col width="22" customWidth="1" min="2" max="2"/>
    <col width="70" customWidth="1" min="3" max="3"/>
    <col width="14" customWidth="1" min="4" max="4"/>
  </cols>
  <sheetData>
    <row r="1">
      <c r="A1" s="4" t="inlineStr">
        <is>
          <t>Inputs (change the shaded cells)</t>
        </is>
      </c>
    </row>
    <row r="2">
      <c r="A2" t="inlineStr">
        <is>
          <t>Blank is not zero: type 0 where a cost is genuinely none. Required: every cell except sector, ransom and the Yes/No choice.</t>
        </is>
      </c>
      <c r="D2" t="inlineStr">
        <is>
          <t>Check (1 = problem)</t>
        </is>
      </c>
    </row>
    <row r="3">
      <c r="A3" t="inlineStr">
        <is>
          <t>Annual revenue (USD)</t>
        </is>
      </c>
      <c r="B3" s="5" t="n">
        <v>400000000</v>
      </c>
      <c r="C3" s="6" t="inlineStr">
        <is>
          <t>Picks the published loss range for firms your size.</t>
        </is>
      </c>
      <c r="D3">
        <f>IF(ISNUMBER(B3),IF(B3&gt;=0,0,1),IF(LEN(B3)=0,0,1))</f>
        <v/>
      </c>
    </row>
    <row r="4">
      <c r="A4" t="inlineStr">
        <is>
          <t>Sector</t>
        </is>
      </c>
      <c r="B4" s="7" t="inlineStr">
        <is>
          <t>Manufacturing</t>
        </is>
      </c>
      <c r="C4" s="6" t="inlineStr">
        <is>
          <t>Pick from the list; "Other" uses the typical-firm rate.</t>
        </is>
      </c>
      <c r="D4" t="n">
        <v>0</v>
      </c>
    </row>
    <row r="5">
      <c r="A5" t="inlineStr">
        <is>
          <t>Revenue per day that depends on IT (USD)</t>
        </is>
      </c>
      <c r="B5" s="5" t="n">
        <v>800000</v>
      </c>
      <c r="C5" s="6" t="inlineStr">
        <is>
          <t>What you lose each day systems are down.</t>
        </is>
      </c>
      <c r="D5">
        <f>IF(ISNUMBER(B5),IF(B5&gt;=0,0,1),IF(LEN(B5)=0,0,1))</f>
        <v/>
      </c>
    </row>
    <row r="6">
      <c r="A6" t="inlineStr">
        <is>
          <t>Days to restore: low</t>
        </is>
      </c>
      <c r="B6" s="8" t="n">
        <v>3</v>
      </c>
      <c r="C6" s="6" t="inlineStr"/>
      <c r="D6">
        <f>IF(ISNUMBER(B6),IF(B6&gt;=0,0,1),IF(LEN(B6)=0,0,1))</f>
        <v/>
      </c>
    </row>
    <row r="7">
      <c r="A7" t="inlineStr">
        <is>
          <t>Days to restore: likely</t>
        </is>
      </c>
      <c r="B7" s="8" t="n">
        <v>10</v>
      </c>
      <c r="C7" s="6" t="inlineStr"/>
      <c r="D7">
        <f>IF(ISNUMBER(B7),IF(B7&gt;=0,0,1),IF(LEN(B7)=0,0,1))</f>
        <v/>
      </c>
    </row>
    <row r="8">
      <c r="A8" t="inlineStr">
        <is>
          <t>Days to restore: high</t>
        </is>
      </c>
      <c r="B8" s="8" t="n">
        <v>30</v>
      </c>
      <c r="C8" s="6" t="inlineStr"/>
      <c r="D8">
        <f>IF(ISNUMBER(B8),IF(B8&gt;=0,0,1),IF(LEN(B8)=0,0,1))</f>
        <v/>
      </c>
    </row>
    <row r="9">
      <c r="A9" t="inlineStr">
        <is>
          <t>Personal records held</t>
        </is>
      </c>
      <c r="B9" s="9" t="n">
        <v>50000</v>
      </c>
      <c r="C9" s="6" t="inlineStr">
        <is>
          <t>Records you would have to notify people about.</t>
        </is>
      </c>
      <c r="D9">
        <f>IF(ISNUMBER(B9),IF(B9&gt;=0,0,1),IF(LEN(B9)=0,0,1))</f>
        <v/>
      </c>
    </row>
    <row r="10">
      <c r="A10" t="inlineStr">
        <is>
          <t>Cost per record (USD)</t>
        </is>
      </c>
      <c r="B10" s="10" t="n">
        <v>3</v>
      </c>
      <c r="C10" s="6" t="inlineStr">
        <is>
          <t>No universal default is appropriate. Enter a scoped estimate for your data types.</t>
        </is>
      </c>
      <c r="D10">
        <f>IF(ISNUMBER(B10),IF(B10&gt;=0,0,1),IF(LEN(B10)=0,0,1))</f>
        <v/>
      </c>
    </row>
    <row r="11">
      <c r="A11" t="inlineStr">
        <is>
          <t>Response cost: low (USD)</t>
        </is>
      </c>
      <c r="B11" s="5" t="n">
        <v>200000</v>
      </c>
      <c r="C11" s="6" t="inlineStr">
        <is>
          <t>Forensics, legal, communications.</t>
        </is>
      </c>
      <c r="D11">
        <f>IF(ISNUMBER(B11),IF(B11&gt;=0,0,1),IF(LEN(B11)=0,0,1))</f>
        <v/>
      </c>
    </row>
    <row r="12">
      <c r="A12" t="inlineStr">
        <is>
          <t>Response cost: likely (USD)</t>
        </is>
      </c>
      <c r="B12" s="5" t="n">
        <v>600000</v>
      </c>
      <c r="C12" s="6" t="inlineStr"/>
      <c r="D12">
        <f>IF(ISNUMBER(B12),IF(B12&gt;=0,0,1),IF(LEN(B12)=0,0,1))</f>
        <v/>
      </c>
    </row>
    <row r="13">
      <c r="A13" t="inlineStr">
        <is>
          <t>Response cost: high (USD)</t>
        </is>
      </c>
      <c r="B13" s="5" t="n">
        <v>2000000</v>
      </c>
      <c r="C13" s="6" t="inlineStr"/>
      <c r="D13">
        <f>IF(ISNUMBER(B13),IF(B13&gt;=0,0,1),IF(LEN(B13)=0,0,1))</f>
        <v/>
      </c>
    </row>
    <row r="14">
      <c r="A14" t="inlineStr">
        <is>
          <t>Regulatory fines: low (USD)</t>
        </is>
      </c>
      <c r="B14" s="5" t="n">
        <v>0</v>
      </c>
      <c r="C14" s="6" t="inlineStr">
        <is>
          <t>Fine caps by law: https://cyphrq.com/pillars/privacy-law/</t>
        </is>
      </c>
      <c r="D14">
        <f>IF(ISNUMBER(B14),IF(B14&gt;=0,0,1),IF(LEN(B14)=0,0,1))</f>
        <v/>
      </c>
    </row>
    <row r="15">
      <c r="A15" t="inlineStr">
        <is>
          <t>Regulatory fines: likely (USD)</t>
        </is>
      </c>
      <c r="B15" s="5" t="n">
        <v>100000</v>
      </c>
      <c r="C15" s="6" t="inlineStr"/>
      <c r="D15">
        <f>IF(ISNUMBER(B15),IF(B15&gt;=0,0,1),IF(LEN(B15)=0,0,1))</f>
        <v/>
      </c>
    </row>
    <row r="16">
      <c r="A16" t="inlineStr">
        <is>
          <t>Regulatory fines: high (USD)</t>
        </is>
      </c>
      <c r="B16" s="5" t="n">
        <v>2000000</v>
      </c>
      <c r="C16" s="6" t="inlineStr"/>
      <c r="D16">
        <f>IF(ISNUMBER(B16),IF(B16&gt;=0,0,1),IF(LEN(B16)=0,0,1))</f>
        <v/>
      </c>
    </row>
    <row r="17">
      <c r="A17" t="inlineStr">
        <is>
          <t>Would you consider paying a ransom?</t>
        </is>
      </c>
      <c r="B17" s="7" t="inlineStr">
        <is>
          <t>Yes</t>
        </is>
      </c>
      <c r="C17" s="6" t="inlineStr">
        <is>
          <t>Yes or No.</t>
        </is>
      </c>
      <c r="D17" t="n">
        <v>0</v>
      </c>
    </row>
    <row r="18">
      <c r="A18" t="inlineStr">
        <is>
          <t>Ransom amount (USD)</t>
        </is>
      </c>
      <c r="B18" s="5" t="n">
        <v>139875</v>
      </c>
      <c r="C18" s="6" t="inlineStr">
        <is>
          <t>Default: median ransom paid (Verizon DBIR 2026).</t>
        </is>
      </c>
      <c r="D18">
        <f>IF(ISNUMBER(B18),IF(B18&gt;=0,0,1),IF(LEN(B18)=0,0,1))</f>
        <v/>
      </c>
    </row>
    <row r="19">
      <c r="A19" s="4" t="inlineStr">
        <is>
          <t>Checks (live formulas; do not type here). They blank the results when an input is blank, negative or out of order.</t>
        </is>
      </c>
    </row>
    <row r="20">
      <c r="A20" t="inlineStr">
        <is>
          <t>Number cells with a problem (negative or not a number)</t>
        </is>
      </c>
      <c r="B20">
        <f>SUM(D3:D18)</f>
        <v/>
      </c>
    </row>
    <row r="21">
      <c r="A21" t="inlineStr">
        <is>
          <t>Low / likely / high rows out of order</t>
        </is>
      </c>
      <c r="B21">
        <f>IF(AND(ISNUMBER(B6),ISNUMBER(B7),ISNUMBER(B8)),IF(AND(B6&lt;=B7,B7&lt;=B8),0,1),0)+IF(AND(ISNUMBER(B11),ISNUMBER(B12),ISNUMBER(B13)),IF(AND(B11&lt;=B12,B12&lt;=B13),0,1),0)+IF(AND(ISNUMBER(B14),ISNUMBER(B15),ISNUMBER(B16)),IF(AND(B14&lt;=B15,B15&lt;=B16),0,1),0)</f>
        <v/>
      </c>
    </row>
    <row r="22">
      <c r="A22" t="inlineStr">
        <is>
          <t>Problem cells on Assets and Resilience</t>
        </is>
      </c>
      <c r="B22">
        <f>SUM(Assets!K4:K8)+Resilience!B13</f>
        <v/>
      </c>
    </row>
    <row r="23">
      <c r="A23" t="inlineStr">
        <is>
          <t>Model settings valid (1 = yes)</t>
        </is>
      </c>
      <c r="B23">
        <f>'Model settings'!B74</f>
        <v/>
      </c>
    </row>
    <row r="24">
      <c r="A24" t="inlineStr">
        <is>
          <t>Required inputs still blank (names, comma separated)</t>
        </is>
      </c>
      <c r="B24">
        <f>IF(LEN(B3)=0,"annual revenue, ","")&amp;IF(LEN(B5)=0,"revenue per day, ","")&amp;IF(LEN(B6)=0,"days to restore: low, ","")&amp;IF(LEN(B7)=0,"days to restore: likely, ","")&amp;IF(LEN(B8)=0,"days to restore: high, ","")&amp;IF(LEN(B9)=0,"records held, ","")&amp;IF(LEN(B10)=0,"cost per record, ","")&amp;IF(LEN(B11)=0,"response cost: low, ","")&amp;IF(LEN(B12)=0,"response cost: likely, ","")&amp;IF(LEN(B13)=0,"response cost: high, ","")&amp;IF(LEN(B14)=0,"regulatory fines: low, ","")&amp;IF(LEN(B15)=0,"regulatory fines: likely, ","")&amp;IF(LEN(B16)=0,"regulatory fines: high, ","")</f>
        <v/>
      </c>
    </row>
    <row r="26">
      <c r="A26" t="inlineStr">
        <is>
          <t>Status</t>
        </is>
      </c>
      <c r="B26">
        <f>IF(B23&lt;&gt;1,"Check model settings",IF(B20+B21+B22&gt;0,"Check inputs",IF(LEN(B24)&gt;0,"Incomplete: enter "&amp;LEFT(B24,LEN(B24)-2)&amp;" to see your estimate","OK")))</f>
        <v/>
      </c>
    </row>
    <row r="27">
      <c r="A27" t="inlineStr">
        <is>
          <t>Benchmark figures allowed (1 = yes; needs valid settings and revenue)</t>
        </is>
      </c>
      <c r="B27">
        <f>IF(AND(B23=1,D3=0,LEN(B3)&gt;0),1,0)</f>
        <v/>
      </c>
    </row>
    <row r="28">
      <c r="A28" t="inlineStr">
        <is>
          <t>Your-scenario figures allowed (1 = yes; every required input given and valid)</t>
        </is>
      </c>
      <c r="B28">
        <f>IF(AND(B27=1,B20+B21+B22=0,LEN(B24)=0),1,0)</f>
        <v/>
      </c>
    </row>
  </sheetData>
  <dataValidations count="3">
    <dataValidation sqref="B4" showErrorMessage="1" showInputMessage="1" allowBlank="0" errorTitle="Check this entry" error="That value is not allowed here." type="list">
      <formula1>"Manufacturing,Public sector,Healthcare,Information,Retail,Financial,Utilities,Entertainment,Other"</formula1>
    </dataValidation>
    <dataValidation sqref="B17" showErrorMessage="1" showInputMessage="1" allowBlank="0" errorTitle="Check this entry" error="That value is not allowed here." type="list">
      <formula1>"Yes,No"</formula1>
    </dataValidation>
    <dataValidation sqref="B3 B5:B16 B18" showErrorMessage="1" showInputMessage="1" allowBlank="1" errorTitle="Check this entry" error="Enter a number that is 0 or more. Leave blank only if you do not know; a blank is not a zero." type="decimal" operator="greaterThanOrEqual">
      <formula1>0</formula1>
    </dataValidation>
  </dataValidation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K8"/>
  <sheetViews>
    <sheetView workbookViewId="0">
      <selection activeCell="A1" sqref="A1"/>
    </sheetView>
  </sheetViews>
  <sheetFormatPr baseColWidth="8" defaultRowHeight="15"/>
  <cols>
    <col width="30" customWidth="1" min="1" max="1"/>
    <col width="18" customWidth="1" min="2" max="2"/>
    <col width="16" customWidth="1" min="3" max="3"/>
    <col width="22" customWidth="1" min="4" max="4"/>
    <col width="16" customWidth="1" min="5" max="5"/>
    <col width="18" customWidth="1" min="6" max="6"/>
    <col width="18" customWidth="1" min="7" max="7"/>
    <col width="14" customWidth="1" min="8" max="8"/>
    <col width="14" customWidth="1" min="9" max="9"/>
    <col width="20" customWidth="1" min="10" max="10"/>
    <col width="12" customWidth="1" min="11" max="11"/>
  </cols>
  <sheetData>
    <row r="1">
      <c r="A1" s="4" t="inlineStr">
        <is>
          <t>Your top 5 critical assets (change the shaded cells; leave a row empty to skip it)</t>
        </is>
      </c>
    </row>
    <row r="2">
      <c r="A2" t="inlineStr">
        <is>
          <t>A row with no name is ignored. Data class: Public: Meant for anyone to see, such as marketing pages. | Internal: For staff only; low harm if it leaks, such as internal notices. | Confidential: Harm to customers or the business if it leaks, such as customer records or contracts. | Restricted: Severe harm or legal duty if it leaks, such as health, payment or credential data.</t>
        </is>
      </c>
    </row>
    <row r="3">
      <c r="A3" s="11" t="inlineStr">
        <is>
          <t>Name</t>
        </is>
      </c>
      <c r="B3" s="11" t="inlineStr">
        <is>
          <t>Value (USD)</t>
        </is>
      </c>
      <c r="C3" s="11" t="inlineStr">
        <is>
          <t>Records held</t>
        </is>
      </c>
      <c r="D3" s="11" t="inlineStr">
        <is>
          <t>Downtime cost per day (USD)</t>
        </is>
      </c>
      <c r="E3" s="11" t="inlineStr">
        <is>
          <t>Days to restore</t>
        </is>
      </c>
      <c r="F3" s="11" t="inlineStr">
        <is>
          <t>Data class</t>
        </is>
      </c>
      <c r="G3" s="11" t="inlineStr">
        <is>
          <t>Internet-facing</t>
        </is>
      </c>
      <c r="H3" s="11" t="inlineStr">
        <is>
          <t>Recovery time target, RTO (hours, optional)</t>
        </is>
      </c>
      <c r="I3" s="11" t="inlineStr">
        <is>
          <t>Recovery point target, RPO (hours, optional)</t>
        </is>
      </c>
      <c r="J3" s="11" t="inlineStr">
        <is>
          <t>Backup interval (hours, optional)</t>
        </is>
      </c>
      <c r="K3" s="11" t="inlineStr">
        <is>
          <t>Check (1 = problem)</t>
        </is>
      </c>
    </row>
    <row r="4">
      <c r="A4" s="7" t="inlineStr">
        <is>
          <t>ERP system</t>
        </is>
      </c>
      <c r="B4" s="5" t="n">
        <v>2000000</v>
      </c>
      <c r="C4" s="9" t="n">
        <v>20000</v>
      </c>
      <c r="D4" s="5" t="n">
        <v>600000</v>
      </c>
      <c r="E4" s="7" t="n">
        <v>10</v>
      </c>
      <c r="F4" s="7" t="inlineStr">
        <is>
          <t>Confidential</t>
        </is>
      </c>
      <c r="G4" s="7" t="inlineStr">
        <is>
          <t>No</t>
        </is>
      </c>
      <c r="H4" s="7" t="n">
        <v>24</v>
      </c>
      <c r="I4" s="7" t="n">
        <v>4</v>
      </c>
      <c r="J4" s="7" t="n">
        <v>24</v>
      </c>
      <c r="K4">
        <f>IF(A4="",0,IF(ISNUMBER(B4),IF(B4&gt;=0,0,1),IF(LEN(B4)=0,0,1))+IF(ISNUMBER(C4),IF(C4&gt;=0,0,1),IF(LEN(C4)=0,0,1))+IF(ISNUMBER(D4),IF(D4&gt;=0,0,1),IF(LEN(D4)=0,0,1))+IF(ISNUMBER(E4),IF(E4&gt;=0,0,1),IF(LEN(E4)=0,0,1))+IF(ISNUMBER(H4),IF(H4&gt;=0,0,1),IF(LEN(H4)=0,0,1))+IF(ISNUMBER(I4),IF(I4&gt;=0,0,1),IF(LEN(I4)=0,0,1))+IF(ISNUMBER(J4),IF(J4&gt;=0,0,1),IF(LEN(J4)=0,0,1)))</f>
        <v/>
      </c>
    </row>
    <row r="5">
      <c r="A5" s="7" t="inlineStr">
        <is>
          <t>Customer portal</t>
        </is>
      </c>
      <c r="B5" s="5" t="n">
        <v>500000</v>
      </c>
      <c r="C5" s="9" t="n">
        <v>50000</v>
      </c>
      <c r="D5" s="5" t="n">
        <v>100000</v>
      </c>
      <c r="E5" s="7" t="n">
        <v>5</v>
      </c>
      <c r="F5" s="7" t="inlineStr">
        <is>
          <t>Restricted</t>
        </is>
      </c>
      <c r="G5" s="7" t="inlineStr">
        <is>
          <t>Yes</t>
        </is>
      </c>
      <c r="H5" s="7" t="n">
        <v>8</v>
      </c>
      <c r="I5" s="7" t="n">
        <v>1</v>
      </c>
      <c r="J5" s="7" t="n">
        <v>1</v>
      </c>
      <c r="K5">
        <f>IF(A5="",0,IF(ISNUMBER(B5),IF(B5&gt;=0,0,1),IF(LEN(B5)=0,0,1))+IF(ISNUMBER(C5),IF(C5&gt;=0,0,1),IF(LEN(C5)=0,0,1))+IF(ISNUMBER(D5),IF(D5&gt;=0,0,1),IF(LEN(D5)=0,0,1))+IF(ISNUMBER(E5),IF(E5&gt;=0,0,1),IF(LEN(E5)=0,0,1))+IF(ISNUMBER(H5),IF(H5&gt;=0,0,1),IF(LEN(H5)=0,0,1))+IF(ISNUMBER(I5),IF(I5&gt;=0,0,1),IF(LEN(I5)=0,0,1))+IF(ISNUMBER(J5),IF(J5&gt;=0,0,1),IF(LEN(J5)=0,0,1)))</f>
        <v/>
      </c>
    </row>
    <row r="6">
      <c r="A6" s="7" t="inlineStr">
        <is>
          <t>Plant control systems</t>
        </is>
      </c>
      <c r="B6" s="5" t="n">
        <v>5000000</v>
      </c>
      <c r="C6" s="9" t="n">
        <v>0</v>
      </c>
      <c r="D6" s="5" t="n">
        <v>400000</v>
      </c>
      <c r="E6" s="7" t="n">
        <v>14</v>
      </c>
      <c r="F6" s="7" t="inlineStr">
        <is>
          <t>Internal</t>
        </is>
      </c>
      <c r="G6" s="7" t="inlineStr">
        <is>
          <t>No</t>
        </is>
      </c>
      <c r="H6" s="7" t="n"/>
      <c r="I6" s="7" t="n"/>
      <c r="J6" s="7" t="n"/>
      <c r="K6">
        <f>IF(A6="",0,IF(ISNUMBER(B6),IF(B6&gt;=0,0,1),IF(LEN(B6)=0,0,1))+IF(ISNUMBER(C6),IF(C6&gt;=0,0,1),IF(LEN(C6)=0,0,1))+IF(ISNUMBER(D6),IF(D6&gt;=0,0,1),IF(LEN(D6)=0,0,1))+IF(ISNUMBER(E6),IF(E6&gt;=0,0,1),IF(LEN(E6)=0,0,1))+IF(ISNUMBER(H6),IF(H6&gt;=0,0,1),IF(LEN(H6)=0,0,1))+IF(ISNUMBER(I6),IF(I6&gt;=0,0,1),IF(LEN(I6)=0,0,1))+IF(ISNUMBER(J6),IF(J6&gt;=0,0,1),IF(LEN(J6)=0,0,1)))</f>
        <v/>
      </c>
    </row>
    <row r="7">
      <c r="A7" s="7" t="n"/>
      <c r="B7" s="5" t="n"/>
      <c r="C7" s="9" t="n"/>
      <c r="D7" s="5" t="n"/>
      <c r="E7" s="7" t="n"/>
      <c r="F7" s="7" t="n"/>
      <c r="G7" s="7" t="n"/>
      <c r="H7" s="7" t="n"/>
      <c r="I7" s="7" t="n"/>
      <c r="J7" s="7" t="n"/>
      <c r="K7">
        <f>IF(A7="",0,IF(ISNUMBER(B7),IF(B7&gt;=0,0,1),IF(LEN(B7)=0,0,1))+IF(ISNUMBER(C7),IF(C7&gt;=0,0,1),IF(LEN(C7)=0,0,1))+IF(ISNUMBER(D7),IF(D7&gt;=0,0,1),IF(LEN(D7)=0,0,1))+IF(ISNUMBER(E7),IF(E7&gt;=0,0,1),IF(LEN(E7)=0,0,1))+IF(ISNUMBER(H7),IF(H7&gt;=0,0,1),IF(LEN(H7)=0,0,1))+IF(ISNUMBER(I7),IF(I7&gt;=0,0,1),IF(LEN(I7)=0,0,1))+IF(ISNUMBER(J7),IF(J7&gt;=0,0,1),IF(LEN(J7)=0,0,1)))</f>
        <v/>
      </c>
    </row>
    <row r="8">
      <c r="A8" s="7" t="n"/>
      <c r="B8" s="5" t="n"/>
      <c r="C8" s="9" t="n"/>
      <c r="D8" s="5" t="n"/>
      <c r="E8" s="7" t="n"/>
      <c r="F8" s="7" t="n"/>
      <c r="G8" s="7" t="n"/>
      <c r="H8" s="7" t="n"/>
      <c r="I8" s="7" t="n"/>
      <c r="J8" s="7" t="n"/>
      <c r="K8">
        <f>IF(A8="",0,IF(ISNUMBER(B8),IF(B8&gt;=0,0,1),IF(LEN(B8)=0,0,1))+IF(ISNUMBER(C8),IF(C8&gt;=0,0,1),IF(LEN(C8)=0,0,1))+IF(ISNUMBER(D8),IF(D8&gt;=0,0,1),IF(LEN(D8)=0,0,1))+IF(ISNUMBER(E8),IF(E8&gt;=0,0,1),IF(LEN(E8)=0,0,1))+IF(ISNUMBER(H8),IF(H8&gt;=0,0,1),IF(LEN(H8)=0,0,1))+IF(ISNUMBER(I8),IF(I8&gt;=0,0,1),IF(LEN(I8)=0,0,1))+IF(ISNUMBER(J8),IF(J8&gt;=0,0,1),IF(LEN(J8)=0,0,1)))</f>
        <v/>
      </c>
    </row>
  </sheetData>
  <dataValidations count="3">
    <dataValidation sqref="F4:F8" showErrorMessage="1" showInputMessage="1" allowBlank="1" errorTitle="Check this entry" error="That value is not allowed here." type="list">
      <formula1>"Public,Internal,Confidential,Restricted"</formula1>
    </dataValidation>
    <dataValidation sqref="G4:G8" showErrorMessage="1" showInputMessage="1" allowBlank="1" errorTitle="Check this entry" error="That value is not allowed here." type="list">
      <formula1>"Yes,No"</formula1>
    </dataValidation>
    <dataValidation sqref="B4:E8 H4:J8" showErrorMessage="1" showInputMessage="1" allowBlank="1" errorTitle="Check this entry" error="Enter a number that is 0 or more. Leave blank only if you do not know; a blank is not a zero." type="decimal" operator="greaterThanOrEqual">
      <formula1>0</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62" customWidth="1" min="1" max="1"/>
    <col width="10" customWidth="1" min="2" max="2"/>
    <col width="70" customWidth="1" min="3" max="3"/>
    <col width="46" customWidth="1" min="4" max="4"/>
  </cols>
  <sheetData>
    <row r="1">
      <c r="A1" s="4" t="inlineStr">
        <is>
          <t>Readiness: answer Yes only if it is true everywhere. Unknown counts as No.</t>
        </is>
      </c>
    </row>
    <row r="2">
      <c r="A2" t="inlineStr">
        <is>
          <t>Partial check mapped to five NIST CSF 2.0 functions (Govern is not covered).</t>
        </is>
      </c>
    </row>
    <row r="3">
      <c r="A3" s="11" t="inlineStr">
        <is>
          <t>Question</t>
        </is>
      </c>
      <c r="B3" s="11" t="inlineStr">
        <is>
          <t>Answer</t>
        </is>
      </c>
      <c r="C3" s="11" t="inlineStr">
        <is>
          <t>Why insurers ask</t>
        </is>
      </c>
      <c r="D3" s="11" t="inlineStr">
        <is>
          <t>CyphrQ tool page</t>
        </is>
      </c>
    </row>
    <row r="4">
      <c r="A4" s="6" t="inlineStr">
        <is>
          <t>Do all remote access routes (VPN, remote desktop, cloud logins) need multi-factor authentication?</t>
        </is>
      </c>
      <c r="B4" s="7" t="inlineStr">
        <is>
          <t>Yes</t>
        </is>
      </c>
      <c r="C4" s="6" t="inlineStr">
        <is>
          <t>Stolen passwords are the most common way in; MFA on remote access stops most of them.</t>
        </is>
      </c>
      <c r="D4" t="inlineStr">
        <is>
          <t>https://cyphrq.com/pillars/tools-protect/</t>
        </is>
      </c>
    </row>
    <row r="5">
      <c r="A5" s="6" t="inlineStr">
        <is>
          <t>Do all administrator and privileged accounts need multi-factor authentication?</t>
        </is>
      </c>
      <c r="B5" s="7" t="inlineStr">
        <is>
          <t>No</t>
        </is>
      </c>
      <c r="C5" s="6" t="inlineStr">
        <is>
          <t>An attacker with an admin account can switch off defences and reach every system.</t>
        </is>
      </c>
      <c r="D5" t="inlineStr">
        <is>
          <t>https://cyphrq.com/pillars/tools-protect/</t>
        </is>
      </c>
    </row>
    <row r="6">
      <c r="A6" s="6" t="inlineStr">
        <is>
          <t>Does every email account need multi-factor authentication?</t>
        </is>
      </c>
      <c r="B6" s="7" t="inlineStr">
        <is>
          <t>No</t>
        </is>
      </c>
      <c r="C6" s="6" t="inlineStr">
        <is>
          <t>Email takeover leads to payment fraud and password resets for other services.</t>
        </is>
      </c>
      <c r="D6" t="inlineStr">
        <is>
          <t>https://cyphrq.com/pillars/tools-protect/</t>
        </is>
      </c>
    </row>
    <row r="7">
      <c r="A7" s="6" t="inlineStr">
        <is>
          <t>Is endpoint detection and response (EDR) running on every workstation and server?</t>
        </is>
      </c>
      <c r="B7" s="7" t="inlineStr">
        <is>
          <t>Yes</t>
        </is>
      </c>
      <c r="C7" s="6" t="inlineStr">
        <is>
          <t>EDR catches ransomware behaviour that ordinary antivirus misses; insurers ask for 100% coverage.</t>
        </is>
      </c>
      <c r="D7" t="inlineStr">
        <is>
          <t>https://cyphrq.com/pillars/tools-detect/</t>
        </is>
      </c>
    </row>
    <row r="8">
      <c r="A8" s="6" t="inlineStr">
        <is>
          <t>Do you filter email for phishing, malicious links and attachments with a dedicated email security tool?</t>
        </is>
      </c>
      <c r="B8" s="7" t="inlineStr">
        <is>
          <t>No</t>
        </is>
      </c>
      <c r="C8" s="6" t="inlineStr">
        <is>
          <t>Phishing is a leading way ransomware starts.</t>
        </is>
      </c>
      <c r="D8" t="inlineStr">
        <is>
          <t>https://cyphrq.com/pillars/tools-protect/</t>
        </is>
      </c>
    </row>
    <row r="9">
      <c r="A9" s="6" t="inlineStr">
        <is>
          <t>Are critical security patches installed within 14 days of release?</t>
        </is>
      </c>
      <c r="B9" s="7" t="inlineStr">
        <is>
          <t>No</t>
        </is>
      </c>
      <c r="C9" s="6" t="inlineStr">
        <is>
          <t>Attackers exploit known flaws within days; unpatched systems are a common entry point.</t>
        </is>
      </c>
      <c r="D9" t="inlineStr">
        <is>
          <t>https://cyphrq.com/pillars/tools-identify/</t>
        </is>
      </c>
    </row>
    <row r="10">
      <c r="A10" s="6" t="inlineStr">
        <is>
          <t>Do you control and record administrator access with a privileged access management (PAM) tool?</t>
        </is>
      </c>
      <c r="B10" s="7" t="inlineStr">
        <is>
          <t>No</t>
        </is>
      </c>
      <c r="C10" s="6" t="inlineStr">
        <is>
          <t>It limits what a stolen admin login can do and leaves an audit trail.</t>
        </is>
      </c>
      <c r="D10" t="inlineStr">
        <is>
          <t>https://cyphrq.com/pillars/tools-protect/</t>
        </is>
      </c>
    </row>
    <row r="11">
      <c r="A11" s="6" t="inlineStr">
        <is>
          <t>Do you use zero trust network access (ZTNA) or network access control (NAC) so unknown devices cannot reach internal systems?</t>
        </is>
      </c>
      <c r="B11" s="7" t="inlineStr">
        <is>
          <t>No</t>
        </is>
      </c>
      <c r="C11" s="6" t="inlineStr">
        <is>
          <t>It keeps an intruder on one device from roaming across the network.</t>
        </is>
      </c>
      <c r="D11" t="inlineStr">
        <is>
          <t>https://cyphrq.com/pillars/tools-protect/</t>
        </is>
      </c>
    </row>
    <row r="12">
      <c r="A12" s="6" t="inlineStr">
        <is>
          <t>Do staff take phishing awareness training at least once a year?</t>
        </is>
      </c>
      <c r="B12" s="7" t="inlineStr">
        <is>
          <t>No</t>
        </is>
      </c>
      <c r="C12" s="6" t="inlineStr">
        <is>
          <t>People are the target of most attacks; trained staff report more and click less.</t>
        </is>
      </c>
      <c r="D12" t="inlineStr">
        <is>
          <t>https://cyphrq.com/pillars/awareness/</t>
        </is>
      </c>
    </row>
    <row r="13">
      <c r="A13" s="6" t="inlineStr">
        <is>
          <t>Are backups of all critical systems immutable or kept offline, separate from the main network?</t>
        </is>
      </c>
      <c r="B13" s="7" t="inlineStr">
        <is>
          <t>No</t>
        </is>
      </c>
      <c r="C13" s="6" t="inlineStr">
        <is>
          <t>Ransomware deletes or encrypts reachable backups first; separate copies make recovery possible.</t>
        </is>
      </c>
      <c r="D13" t="inlineStr">
        <is>
          <t>https://cyphrq.com/pillars/tools-respond/</t>
        </is>
      </c>
    </row>
    <row r="14">
      <c r="A14" s="6" t="inlineStr">
        <is>
          <t>Does access to the backup system need multi-factor authentication?</t>
        </is>
      </c>
      <c r="B14" s="7" t="inlineStr">
        <is>
          <t>No</t>
        </is>
      </c>
      <c r="C14" s="6" t="inlineStr">
        <is>
          <t>Attackers who can log in to backups can wipe them.</t>
        </is>
      </c>
      <c r="D14" t="inlineStr">
        <is>
          <t>https://cyphrq.com/pillars/tools-respond/</t>
        </is>
      </c>
    </row>
    <row r="15">
      <c r="A15" s="6" t="inlineStr">
        <is>
          <t>Have you tested restoring from backups in the last 12 months?</t>
        </is>
      </c>
      <c r="B15" s="7" t="inlineStr">
        <is>
          <t>No</t>
        </is>
      </c>
      <c r="C15" s="6" t="inlineStr">
        <is>
          <t>An untested backup often fails; the test shows how many days of downtime to expect.</t>
        </is>
      </c>
      <c r="D15" t="inlineStr">
        <is>
          <t>https://cyphrq.com/pillars/tools-respond/</t>
        </is>
      </c>
    </row>
    <row r="16">
      <c r="A16" s="6" t="inlineStr">
        <is>
          <t>Do you have an incident response plan that you have rehearsed in the last 12 months?</t>
        </is>
      </c>
      <c r="B16" s="7" t="inlineStr">
        <is>
          <t>No</t>
        </is>
      </c>
      <c r="C16" s="6" t="inlineStr">
        <is>
          <t>Rehearsed teams contain incidents sooner, and sooner means cheaper.</t>
        </is>
      </c>
      <c r="D16" t="inlineStr">
        <is>
          <t>https://cyphrq.com/pillars/tools-respond/</t>
        </is>
      </c>
    </row>
    <row r="17">
      <c r="A17" s="6" t="inlineStr">
        <is>
          <t>Is someone watching your security alerts around the clock (an in-house SIEM team or a managed detection and response service)?</t>
        </is>
      </c>
      <c r="B17" s="7" t="inlineStr">
        <is>
          <t>No</t>
        </is>
      </c>
      <c r="C17" s="6" t="inlineStr">
        <is>
          <t>Many attacks run overnight and at weekends; round-the-clock monitoring shortens the time to spot them.</t>
        </is>
      </c>
      <c r="D17" t="inlineStr">
        <is>
          <t>https://cyphrq.com/pillars/tools-detect/</t>
        </is>
      </c>
    </row>
    <row r="18">
      <c r="A18" s="6" t="inlineStr">
        <is>
          <t>Is sensitive data encrypted, or protected by data loss prevention (DLP)?</t>
        </is>
      </c>
      <c r="B18" s="7" t="inlineStr">
        <is>
          <t>No</t>
        </is>
      </c>
      <c r="C18" s="6" t="inlineStr">
        <is>
          <t>Encrypted or controlled data is less costly to lose and easier to defend to regulators.</t>
        </is>
      </c>
      <c r="D18" t="inlineStr">
        <is>
          <t>https://cyphrq.com/pillars/tools-protect/</t>
        </is>
      </c>
    </row>
  </sheetData>
  <dataValidations count="1">
    <dataValidation sqref="B4:B18" showErrorMessage="1" showInputMessage="1" allowBlank="1" errorTitle="Check this entry" error="That value is not allowed here." type="list">
      <formula1>"Yes,No,Unknown"</formula1>
    </dataValidation>
  </dataValidation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62" customWidth="1" min="1" max="1"/>
    <col width="18" customWidth="1" min="2" max="2"/>
    <col width="18" customWidth="1" min="3" max="3"/>
    <col width="18" customWidth="1" min="4" max="4"/>
    <col width="70" customWidth="1" min="5" max="5"/>
  </cols>
  <sheetData>
    <row r="1">
      <c r="A1" s="4" t="inlineStr">
        <is>
          <t>Recovery and continuity (change the shaded cells; leave all blank to skip)</t>
        </is>
      </c>
    </row>
    <row r="3">
      <c r="A3" t="inlineStr">
        <is>
          <t>Recovery time target (RTO), overall (hours)</t>
        </is>
      </c>
      <c r="B3" s="12" t="n">
        <v>48</v>
      </c>
      <c r="E3" s="6" t="inlineStr">
        <is>
          <t>The longest outage you can accept. Compared with the likely restore time.</t>
        </is>
      </c>
    </row>
    <row r="4">
      <c r="A4" t="inlineStr">
        <is>
          <t>Recovery point target (RPO), overall (hours)</t>
        </is>
      </c>
      <c r="B4" s="12" t="n">
        <v>4</v>
      </c>
      <c r="E4" s="6" t="inlineStr">
        <is>
          <t>The most data, in hours of work, you can afford to lose.</t>
        </is>
      </c>
    </row>
    <row r="5">
      <c r="A5" t="inlineStr">
        <is>
          <t>Backup interval (hours between backups)</t>
        </is>
      </c>
      <c r="B5" s="12" t="n">
        <v>24</v>
      </c>
      <c r="E5" s="6" t="inlineStr">
        <is>
          <t>How often backups run.</t>
        </is>
      </c>
    </row>
    <row r="6">
      <c r="A6" t="inlineStr">
        <is>
          <t>Cost to recreate one hour of lost data (USD)</t>
        </is>
      </c>
      <c r="B6" s="5" t="n">
        <v>20000</v>
      </c>
      <c r="E6" s="6" t="inlineStr">
        <is>
          <t>Your estimate; no public default. Blank counts as 0.</t>
        </is>
      </c>
    </row>
    <row r="7">
      <c r="A7" t="inlineStr">
        <is>
          <t>Disaster recovery level</t>
        </is>
      </c>
      <c r="B7" s="7" t="inlineStr">
        <is>
          <t>Cold</t>
        </is>
      </c>
      <c r="E7" s="6" t="inlineStr">
        <is>
          <t>None: No standby environment: you rebuild from backups after a disaster. Cold: Space and hardware are available but must be set up and loaded with data; recovery takes days. Warm: A scaled-down copy is running and kept fairly current; recovery takes hours. Hot: A full copy runs in parallel and takes over within minutes.</t>
        </is>
      </c>
    </row>
    <row r="8">
      <c r="A8" t="inlineStr">
        <is>
          <t>Written business continuity plan (BCP)</t>
        </is>
      </c>
      <c r="B8" s="7" t="inlineStr">
        <is>
          <t>Yes</t>
        </is>
      </c>
      <c r="E8" s="6" t="inlineStr">
        <is>
          <t>Yes or No.</t>
        </is>
      </c>
    </row>
    <row r="9">
      <c r="A9" t="inlineStr">
        <is>
          <t>3-2-1 backups (three copies, two media, one off-site)</t>
        </is>
      </c>
      <c r="B9" s="7" t="inlineStr">
        <is>
          <t>No</t>
        </is>
      </c>
      <c r="E9" s="6" t="inlineStr">
        <is>
          <t>Yes or No.</t>
        </is>
      </c>
    </row>
    <row r="10">
      <c r="A10" t="inlineStr">
        <is>
          <t>Months since the last BCP test</t>
        </is>
      </c>
      <c r="B10" s="12" t="n">
        <v>18</v>
      </c>
      <c r="E10" s="6" t="inlineStr">
        <is>
          <t>Enter 0 if done this month. Leave blank if never or unknown (no credit).</t>
        </is>
      </c>
    </row>
    <row r="11">
      <c r="A11" t="inlineStr">
        <is>
          <t>Months since the last disaster recovery test</t>
        </is>
      </c>
      <c r="B11" s="12" t="n">
        <v>0</v>
      </c>
      <c r="E11" s="6" t="inlineStr">
        <is>
          <t>Enter 0 if done this month. Leave blank if never or unknown (no credit).</t>
        </is>
      </c>
    </row>
    <row r="12">
      <c r="A12" t="inlineStr">
        <is>
          <t>Months since the last incident tabletop exercise</t>
        </is>
      </c>
      <c r="B12" s="12" t="n">
        <v>6</v>
      </c>
      <c r="E12" s="6" t="inlineStr">
        <is>
          <t>Enter 0 if done this month. Leave blank if never or unknown (no credit).</t>
        </is>
      </c>
    </row>
    <row r="13">
      <c r="A13" t="inlineStr">
        <is>
          <t>Number cells with a problem (negative or not a number)</t>
        </is>
      </c>
      <c r="B13">
        <f>IF(ISNUMBER(B3),IF(B3&gt;=0,0,1),IF(LEN(B3)=0,0,1))+IF(ISNUMBER(B4),IF(B4&gt;=0,0,1),IF(LEN(B4)=0,0,1))+IF(ISNUMBER(B5),IF(B5&gt;=0,0,1),IF(LEN(B5)=0,0,1))+IF(ISNUMBER(B6),IF(B6&gt;=0,0,1),IF(LEN(B6)=0,0,1))+IF(ISNUMBER(B10),IF(B10&gt;=0,0,1),IF(LEN(B10)=0,0,1))+IF(ISNUMBER(B11),IF(B11&gt;=0,0,1),IF(LEN(B11)=0,0,1))+IF(ISNUMBER(B12),IF(B12&gt;=0,0,1),IF(LEN(B12)=0,0,1))</f>
        <v/>
      </c>
    </row>
    <row r="14">
      <c r="A14" s="4" t="inlineStr">
        <is>
          <t>Calculated (live formulas; do not type here)</t>
        </is>
      </c>
    </row>
    <row r="15">
      <c r="A15" t="inlineStr">
        <is>
          <t>In use (1 = any resilience field filled and the inputs are complete and valid)</t>
        </is>
      </c>
      <c r="B15" s="13">
        <f>IF(Inputs!$B$28&lt;&gt;1,0,IF(OR(COUNT(B3:B6)&gt;0,B7="Cold",B7="Warm",B7="Hot",B8="Yes",B9="Yes",COUNT(B10:B12)&gt;0,COUNT(Assets!H4:J8)&gt;0),1,0))</f>
        <v/>
      </c>
    </row>
    <row r="16">
      <c r="A16" t="inlineStr">
        <is>
          <t>Likely restore time (hours)</t>
        </is>
      </c>
      <c r="B16" s="14">
        <f>IF(Inputs!$B$28=1,Inputs!B7*24,"")</f>
        <v/>
      </c>
    </row>
    <row r="17">
      <c r="A17" t="inlineStr">
        <is>
          <t>RTO gap: restore time beyond the target (hours)</t>
        </is>
      </c>
      <c r="B17" s="14">
        <f>IF(AND(B15=1,ISNUMBER(B3)),MAX(0,B16-B3),"")</f>
        <v/>
      </c>
    </row>
    <row r="18">
      <c r="A18" t="inlineStr">
        <is>
          <t>RPO gap: backup interval beyond the target (hours)</t>
        </is>
      </c>
      <c r="B18" s="14">
        <f>IF(AND(B15=1,ISNUMBER(B4),ISNUMBER(B5)),MAX(0,B5-B4),"")</f>
        <v/>
      </c>
    </row>
    <row r="19">
      <c r="A19" t="inlineStr">
        <is>
          <t>Backup interval used (hours; blank counts as 0)</t>
        </is>
      </c>
      <c r="B19" s="14">
        <f>IF(ISNUMBER(B5),B5,0)</f>
        <v/>
      </c>
    </row>
    <row r="20">
      <c r="A20" t="inlineStr">
        <is>
          <t>Cost per hour of lost data used (USD)</t>
        </is>
      </c>
      <c r="B20" s="15">
        <f>IF(ISNUMBER(B6),B6,0)</f>
        <v/>
      </c>
    </row>
    <row r="21">
      <c r="A21" t="inlineStr">
        <is>
          <t>Data lost since the last backup: low (USD)</t>
        </is>
      </c>
      <c r="B21" s="15">
        <f>0</f>
        <v/>
      </c>
    </row>
    <row r="22">
      <c r="A22" t="inlineStr">
        <is>
          <t>Data lost since the last backup: likely, half an interval (USD)</t>
        </is>
      </c>
      <c r="B22" s="15">
        <f>B19/2*B20</f>
        <v/>
      </c>
    </row>
    <row r="23">
      <c r="A23" t="inlineStr">
        <is>
          <t>Data lost since the last backup: high, a full interval (USD)</t>
        </is>
      </c>
      <c r="B23" s="15">
        <f>B19*B20</f>
        <v/>
      </c>
    </row>
    <row r="24">
      <c r="A24" t="inlineStr">
        <is>
          <t>The data-loss figure uses half your backup interval as the average case. It is an assumption, not a guaranteed recovery outcome.</t>
        </is>
      </c>
    </row>
    <row r="25">
      <c r="A25" s="11" t="inlineStr">
        <is>
          <t>Readiness check</t>
        </is>
      </c>
      <c r="B25" s="11" t="inlineStr">
        <is>
          <t>Met (1/0)</t>
        </is>
      </c>
      <c r="C25" s="11" t="inlineStr">
        <is>
          <t>Points available</t>
        </is>
      </c>
      <c r="D25" s="11" t="inlineStr">
        <is>
          <t>Points earned</t>
        </is>
      </c>
    </row>
    <row r="26">
      <c r="A26" t="inlineStr">
        <is>
          <t>Written business continuity plan (BCP)</t>
        </is>
      </c>
      <c r="B26">
        <f>IF(B8="Yes",1,0)</f>
        <v/>
      </c>
      <c r="C26">
        <f>'Model settings'!B56</f>
        <v/>
      </c>
      <c r="D26">
        <f>B26*C26</f>
        <v/>
      </c>
    </row>
    <row r="27">
      <c r="A27" t="inlineStr">
        <is>
          <t>BCP tested in the last 12 months</t>
        </is>
      </c>
      <c r="B27">
        <f>IF(ISNUMBER(B10),IF(AND(B10&gt;=0,B10&lt;='Model settings'!$B$61),1,0),0)</f>
        <v/>
      </c>
      <c r="C27">
        <f>'Model settings'!B57</f>
        <v/>
      </c>
      <c r="D27">
        <f>B27*C27</f>
        <v/>
      </c>
    </row>
    <row r="28">
      <c r="A28" t="inlineStr">
        <is>
          <t>Disaster recovery tested in the last 12 months</t>
        </is>
      </c>
      <c r="B28">
        <f>IF(ISNUMBER(B11),IF(AND(B11&gt;=0,B11&lt;='Model settings'!$B$61),1,0),0)</f>
        <v/>
      </c>
      <c r="C28">
        <f>'Model settings'!B58</f>
        <v/>
      </c>
      <c r="D28">
        <f>B28*C28</f>
        <v/>
      </c>
    </row>
    <row r="29">
      <c r="A29" t="inlineStr">
        <is>
          <t>3-2-1 backups</t>
        </is>
      </c>
      <c r="B29">
        <f>IF(B9="Yes",1,0)</f>
        <v/>
      </c>
      <c r="C29">
        <f>'Model settings'!B59</f>
        <v/>
      </c>
      <c r="D29">
        <f>B29*C29</f>
        <v/>
      </c>
    </row>
    <row r="30">
      <c r="A30" t="inlineStr">
        <is>
          <t>Incident tabletop exercise in the last 12 months</t>
        </is>
      </c>
      <c r="B30">
        <f>IF(ISNUMBER(B12),IF(AND(B12&gt;=0,B12&lt;='Model settings'!$B$61),1,0),0)</f>
        <v/>
      </c>
      <c r="C30">
        <f>'Model settings'!B60</f>
        <v/>
      </c>
      <c r="D30">
        <f>B30*C30</f>
        <v/>
      </c>
    </row>
    <row r="31">
      <c r="A31" t="inlineStr">
        <is>
          <t>Disaster recovery site or standby (cold, warm or hot)</t>
        </is>
      </c>
      <c r="B31">
        <f>IF(OR(B7="Cold",B7="Warm",B7="Hot"),1,0)</f>
        <v/>
      </c>
      <c r="C31">
        <f>MAX('Model settings'!$B$63:$B$66)</f>
        <v/>
      </c>
      <c r="D31">
        <f>IFERROR(VLOOKUP(B7,'Model settings'!$A$63:$B$66,2,FALSE),0)</f>
        <v/>
      </c>
    </row>
    <row r="32">
      <c r="A32" s="4" t="inlineStr">
        <is>
          <t>Continuity readiness score (out of 100)</t>
        </is>
      </c>
      <c r="B32">
        <f>IF(B15=1,SUM(D26:D31),"")</f>
        <v/>
      </c>
    </row>
    <row r="34">
      <c r="A34" s="4" t="inlineStr">
        <is>
          <t>Plain-language definitions</t>
        </is>
      </c>
    </row>
    <row r="35" ht="32" customHeight="1">
      <c r="A35" s="6" t="inlineStr">
        <is>
          <t>RTO (recovery time target): The longest outage the business can accept before the harm becomes unacceptable. Compare it with how long a restore really takes.</t>
        </is>
      </c>
    </row>
    <row r="36" ht="32" customHeight="1">
      <c r="A36" s="6" t="inlineStr">
        <is>
          <t>RPO (recovery point target): The most data, measured in time, you can afford to lose. Backups taken less often than this break it.</t>
        </is>
      </c>
    </row>
    <row r="37" ht="32" customHeight="1">
      <c r="A37" s="6" t="inlineStr">
        <is>
          <t>Cold, warm and hot disaster recovery: Cold: space and hardware, set up after a disaster. Warm: a scaled-down copy kept fairly current. Hot: a full copy that takes over within minutes.</t>
        </is>
      </c>
    </row>
    <row r="38" ht="32" customHeight="1">
      <c r="A38" s="6" t="inlineStr">
        <is>
          <t>3-2-1 backups: Three copies of the data, on two different media, with one copy off-site (ideally immutable).</t>
        </is>
      </c>
    </row>
    <row r="39" ht="32" customHeight="1">
      <c r="A39" s="6" t="inlineStr">
        <is>
          <t>BCP (business continuity plan): A written plan for keeping critical processes running, or restoring them, during and after a disruption.</t>
        </is>
      </c>
    </row>
    <row r="40" ht="32" customHeight="1">
      <c r="A40" s="6" t="inlineStr">
        <is>
          <t>Tabletop exercise: A talk-through of an incident, such as ransomware, where leaders say what they would decide and do.</t>
        </is>
      </c>
    </row>
  </sheetData>
  <mergeCells count="6">
    <mergeCell ref="A35:E35"/>
    <mergeCell ref="A36:E36"/>
    <mergeCell ref="A37:E37"/>
    <mergeCell ref="A38:E38"/>
    <mergeCell ref="A39:E39"/>
    <mergeCell ref="A40:E40"/>
  </mergeCells>
  <dataValidations count="3">
    <dataValidation sqref="B7" showErrorMessage="1" showInputMessage="1" allowBlank="0" errorTitle="Check this entry" error="That value is not allowed here." type="list">
      <formula1>"None,Cold,Warm,Hot"</formula1>
    </dataValidation>
    <dataValidation sqref="B8:B9" showErrorMessage="1" showInputMessage="1" allowBlank="0" errorTitle="Check this entry" error="That value is not allowed here." type="list">
      <formula1>"Yes,No"</formula1>
    </dataValidation>
    <dataValidation sqref="B3:B6 B10:B12" showErrorMessage="1" showInputMessage="1" allowBlank="1" errorTitle="Check this entry" error="Enter a number that is 0 or more. Leave blank only if you do not know; a blank is not a zero." type="decimal" operator="greaterThanOrEqual">
      <formula1>0</formula1>
    </dataValidation>
  </dataValidation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74"/>
  <sheetViews>
    <sheetView workbookViewId="0">
      <selection activeCell="A1" sqref="A1"/>
    </sheetView>
  </sheetViews>
  <sheetFormatPr baseColWidth="8" defaultRowHeight="15"/>
  <cols>
    <col width="50" customWidth="1" min="1" max="1"/>
    <col width="40" customWidth="1" min="2" max="2"/>
    <col width="18" customWidth="1" min="3" max="3"/>
    <col width="14" customWidth="1" min="4" max="4"/>
    <col width="14" customWidth="1" min="5" max="5"/>
    <col width="100" customWidth="1" min="6" max="6"/>
  </cols>
  <sheetData>
    <row r="1">
      <c r="A1" s="4" t="inlineStr">
        <is>
          <t>Model settings (editable). Multipliers are our assumptions, not validated or insurer pricing. Out-of-range values make the results show Check model settings.</t>
        </is>
      </c>
    </row>
    <row r="3">
      <c r="A3" t="inlineStr">
        <is>
          <t>Typical firm: chance of an incident in 12 months (IRIS 2025, Fig. 6)</t>
        </is>
      </c>
      <c r="B3" s="16" t="n">
        <v>0.093</v>
      </c>
    </row>
    <row r="4">
      <c r="A4" t="inlineStr">
        <is>
          <t>Low case as a share of the published median (assumption)</t>
        </is>
      </c>
      <c r="B4" s="16" t="n">
        <v>0.25</v>
      </c>
    </row>
    <row r="5">
      <c r="A5" t="inlineStr">
        <is>
          <t>Share of breaches involving ransomware (DBIR 2026)</t>
        </is>
      </c>
      <c r="B5" s="16" t="n">
        <v>0.48</v>
      </c>
    </row>
    <row r="6">
      <c r="A6" t="inlineStr">
        <is>
          <t>Default ransom: median paid (DBIR 2026, USD)</t>
        </is>
      </c>
      <c r="B6" s="5" t="n">
        <v>139875</v>
      </c>
    </row>
    <row r="7">
      <c r="A7" t="inlineStr">
        <is>
          <t>Highest chance of an incident the multipliers can reach</t>
        </is>
      </c>
      <c r="B7" s="16" t="n">
        <v>0.95</v>
      </c>
    </row>
    <row r="9">
      <c r="A9" s="11" t="inlineStr">
        <is>
          <t>Sector (IRIS 2025, Fig. 8)</t>
        </is>
      </c>
      <c r="B9" s="11" t="inlineStr">
        <is>
          <t>12-month chance</t>
        </is>
      </c>
    </row>
    <row r="10">
      <c r="A10" t="inlineStr">
        <is>
          <t>Manufacturing</t>
        </is>
      </c>
      <c r="B10" s="16" t="n">
        <v>0.112</v>
      </c>
    </row>
    <row r="11">
      <c r="A11" t="inlineStr">
        <is>
          <t>Public sector</t>
        </is>
      </c>
      <c r="B11" s="16" t="n">
        <v>0.109</v>
      </c>
    </row>
    <row r="12">
      <c r="A12" t="inlineStr">
        <is>
          <t>Healthcare</t>
        </is>
      </c>
      <c r="B12" s="16" t="n">
        <v>0.091</v>
      </c>
    </row>
    <row r="13">
      <c r="A13" t="inlineStr">
        <is>
          <t>Information</t>
        </is>
      </c>
      <c r="B13" s="16" t="n">
        <v>0.08400000000000001</v>
      </c>
    </row>
    <row r="14">
      <c r="A14" t="inlineStr">
        <is>
          <t>Retail</t>
        </is>
      </c>
      <c r="B14" s="16" t="n">
        <v>0.073</v>
      </c>
    </row>
    <row r="15">
      <c r="A15" t="inlineStr">
        <is>
          <t>Financial</t>
        </is>
      </c>
      <c r="B15" s="16" t="n">
        <v>0.068</v>
      </c>
    </row>
    <row r="16">
      <c r="A16" t="inlineStr">
        <is>
          <t>Utilities</t>
        </is>
      </c>
      <c r="B16" s="16" t="n">
        <v>0.045</v>
      </c>
    </row>
    <row r="17">
      <c r="A17" t="inlineStr">
        <is>
          <t>Entertainment</t>
        </is>
      </c>
      <c r="B17" s="16" t="n">
        <v>0.041</v>
      </c>
    </row>
    <row r="19">
      <c r="A19" s="11" t="inlineStr">
        <is>
          <t>Loss per incident (IRIS 2025, Table 1): revenue below (USD)</t>
        </is>
      </c>
      <c r="B19" s="11" t="inlineStr">
        <is>
          <t>Median loss (USD)</t>
        </is>
      </c>
      <c r="C19" s="11" t="inlineStr">
        <is>
          <t>95th percentile (USD)</t>
        </is>
      </c>
    </row>
    <row r="20">
      <c r="A20" s="5" t="n">
        <v>100000000</v>
      </c>
      <c r="B20" s="5" t="n">
        <v>357000</v>
      </c>
      <c r="C20" s="5" t="n">
        <v>9100000</v>
      </c>
    </row>
    <row r="21">
      <c r="A21" s="5" t="n">
        <v>1000000000</v>
      </c>
      <c r="B21" s="5" t="n">
        <v>466700</v>
      </c>
      <c r="C21" s="5" t="n">
        <v>12300000</v>
      </c>
    </row>
    <row r="22">
      <c r="A22" s="5" t="n">
        <v>10000000000</v>
      </c>
      <c r="B22" s="5" t="n">
        <v>1800000</v>
      </c>
      <c r="C22" s="5" t="n">
        <v>61800000</v>
      </c>
    </row>
    <row r="23">
      <c r="A23" s="5" t="n">
        <v>1e+99</v>
      </c>
      <c r="B23" s="5" t="n">
        <v>2200000</v>
      </c>
      <c r="C23" s="5" t="n">
        <v>266200000</v>
      </c>
    </row>
    <row r="24">
      <c r="A24" t="inlineStr">
        <is>
          <t>(1E+99 stands for no upper limit.)</t>
        </is>
      </c>
    </row>
    <row r="25">
      <c r="A25" s="11" t="inlineStr">
        <is>
          <t>Control key</t>
        </is>
      </c>
      <c r="B25" s="11" t="inlineStr">
        <is>
          <t>Plain-language label</t>
        </is>
      </c>
      <c r="C25" s="11" t="inlineStr">
        <is>
          <t>Affects</t>
        </is>
      </c>
      <c r="D25" s="11" t="inlineStr">
        <is>
          <t>Multiplier if No</t>
        </is>
      </c>
      <c r="E25" s="11" t="inlineStr">
        <is>
          <t>Tie-break order</t>
        </is>
      </c>
      <c r="F25" s="11" t="inlineStr">
        <is>
          <t>What to do next</t>
        </is>
      </c>
    </row>
    <row r="26">
      <c r="A26" t="inlineStr">
        <is>
          <t>mfa_remote</t>
        </is>
      </c>
      <c r="B26" t="inlineStr">
        <is>
          <t>MFA on remote access</t>
        </is>
      </c>
      <c r="C26" t="inlineStr">
        <is>
          <t>Frequency</t>
        </is>
      </c>
      <c r="D26" s="17" t="n">
        <v>1.25</v>
      </c>
      <c r="E26" t="n">
        <v>9</v>
      </c>
      <c r="F26" s="7" t="inlineStr">
        <is>
          <t>Turn on multi-factor authentication for VPN, remote desktop and every cloud login.</t>
        </is>
      </c>
    </row>
    <row r="27">
      <c r="A27" t="inlineStr">
        <is>
          <t>mfa_privileged</t>
        </is>
      </c>
      <c r="B27" t="inlineStr">
        <is>
          <t>MFA on privileged accounts</t>
        </is>
      </c>
      <c r="C27" t="inlineStr">
        <is>
          <t>Frequency</t>
        </is>
      </c>
      <c r="D27" s="17" t="n">
        <v>1.15</v>
      </c>
      <c r="E27" t="n">
        <v>8</v>
      </c>
      <c r="F27" s="7" t="inlineStr">
        <is>
          <t>Require multi-factor authentication for every administrator and privileged account.</t>
        </is>
      </c>
    </row>
    <row r="28">
      <c r="A28" t="inlineStr">
        <is>
          <t>mfa_email</t>
        </is>
      </c>
      <c r="B28" t="inlineStr">
        <is>
          <t>MFA on email</t>
        </is>
      </c>
      <c r="C28" t="inlineStr">
        <is>
          <t>Frequency</t>
        </is>
      </c>
      <c r="D28" s="17" t="n">
        <v>1.1</v>
      </c>
      <c r="E28" t="n">
        <v>7</v>
      </c>
      <c r="F28" s="7" t="inlineStr">
        <is>
          <t>Turn on multi-factor authentication for every email account, starting with executives and finance.</t>
        </is>
      </c>
    </row>
    <row r="29">
      <c r="A29" t="inlineStr">
        <is>
          <t>edr_all</t>
        </is>
      </c>
      <c r="B29" t="inlineStr">
        <is>
          <t>Endpoint detection on every device</t>
        </is>
      </c>
      <c r="C29" t="inlineStr">
        <is>
          <t>Frequency</t>
        </is>
      </c>
      <c r="D29" s="17" t="n">
        <v>1.2</v>
      </c>
      <c r="E29" t="n">
        <v>1</v>
      </c>
      <c r="F29" s="7" t="inlineStr">
        <is>
          <t>Roll out endpoint detection and response to every workstation and server, and check coverage monthly.</t>
        </is>
      </c>
    </row>
    <row r="30">
      <c r="A30" t="inlineStr">
        <is>
          <t>email_security</t>
        </is>
      </c>
      <c r="B30" t="inlineStr">
        <is>
          <t>Email security filtering</t>
        </is>
      </c>
      <c r="C30" t="inlineStr">
        <is>
          <t>Frequency</t>
        </is>
      </c>
      <c r="D30" s="17" t="n">
        <v>1.1</v>
      </c>
      <c r="E30" t="n">
        <v>2</v>
      </c>
      <c r="F30" s="7" t="inlineStr">
        <is>
          <t>Add a dedicated email security tool that scans links and attachments before staff see them.</t>
        </is>
      </c>
    </row>
    <row r="31">
      <c r="A31" t="inlineStr">
        <is>
          <t>patch_14_days</t>
        </is>
      </c>
      <c r="B31" t="inlineStr">
        <is>
          <t>Critical patches within 14 days</t>
        </is>
      </c>
      <c r="C31" t="inlineStr">
        <is>
          <t>Frequency</t>
        </is>
      </c>
      <c r="D31" s="17" t="n">
        <v>1.15</v>
      </c>
      <c r="E31" t="n">
        <v>12</v>
      </c>
      <c r="F31" s="7" t="inlineStr">
        <is>
          <t>Set a 14-day deadline for critical patches and track the systems that miss it.</t>
        </is>
      </c>
    </row>
    <row r="32">
      <c r="A32" t="inlineStr">
        <is>
          <t>pam</t>
        </is>
      </c>
      <c r="B32" t="inlineStr">
        <is>
          <t>Privileged access management</t>
        </is>
      </c>
      <c r="C32" t="inlineStr">
        <is>
          <t>Frequency</t>
        </is>
      </c>
      <c r="D32" s="17" t="n">
        <v>1.1</v>
      </c>
      <c r="E32" t="n">
        <v>11</v>
      </c>
      <c r="F32" s="7" t="inlineStr">
        <is>
          <t>Put administrator access behind a privileged access management tool that records every session.</t>
        </is>
      </c>
    </row>
    <row r="33">
      <c r="A33" t="inlineStr">
        <is>
          <t>ztna_nac</t>
        </is>
      </c>
      <c r="B33" t="inlineStr">
        <is>
          <t>Zero trust or network access control</t>
        </is>
      </c>
      <c r="C33" t="inlineStr">
        <is>
          <t>Frequency</t>
        </is>
      </c>
      <c r="D33" s="17" t="n">
        <v>1.05</v>
      </c>
      <c r="E33" t="n">
        <v>15</v>
      </c>
      <c r="F33" s="7" t="inlineStr">
        <is>
          <t>Move to zero trust or network access control so unknown devices cannot reach internal systems.</t>
        </is>
      </c>
    </row>
    <row r="34">
      <c r="A34" t="inlineStr">
        <is>
          <t>phishing_training</t>
        </is>
      </c>
      <c r="B34" t="inlineStr">
        <is>
          <t>Phishing training</t>
        </is>
      </c>
      <c r="C34" t="inlineStr">
        <is>
          <t>Frequency</t>
        </is>
      </c>
      <c r="D34" s="17" t="n">
        <v>1.05</v>
      </c>
      <c r="E34" t="n">
        <v>13</v>
      </c>
      <c r="F34" s="7" t="inlineStr">
        <is>
          <t>Run phishing awareness training for all staff at least once a year, with simulated tests.</t>
        </is>
      </c>
    </row>
    <row r="35">
      <c r="A35" t="inlineStr">
        <is>
          <t>immutable_offline_backups</t>
        </is>
      </c>
      <c r="B35" t="inlineStr">
        <is>
          <t>Immutable or offline backups</t>
        </is>
      </c>
      <c r="C35" t="inlineStr">
        <is>
          <t>Magnitude</t>
        </is>
      </c>
      <c r="D35" s="17" t="n">
        <v>1.3</v>
      </c>
      <c r="E35" t="n">
        <v>4</v>
      </c>
      <c r="F35" s="7" t="inlineStr">
        <is>
          <t>Keep a copy of critical backups that cannot be changed or deleted from the main network.</t>
        </is>
      </c>
    </row>
    <row r="36">
      <c r="A36" t="inlineStr">
        <is>
          <t>mfa_backups</t>
        </is>
      </c>
      <c r="B36" t="inlineStr">
        <is>
          <t>MFA on backup access</t>
        </is>
      </c>
      <c r="C36" t="inlineStr">
        <is>
          <t>Magnitude</t>
        </is>
      </c>
      <c r="D36" s="17" t="n">
        <v>1.1</v>
      </c>
      <c r="E36" t="n">
        <v>6</v>
      </c>
      <c r="F36" s="7" t="inlineStr">
        <is>
          <t>Require multi-factor authentication to log in to the backup system, and use separate admin accounts.</t>
        </is>
      </c>
    </row>
    <row r="37">
      <c r="A37" t="inlineStr">
        <is>
          <t>restore_tested</t>
        </is>
      </c>
      <c r="B37" t="inlineStr">
        <is>
          <t>Restore tested in the last 12 months</t>
        </is>
      </c>
      <c r="C37" t="inlineStr">
        <is>
          <t>Magnitude</t>
        </is>
      </c>
      <c r="D37" s="17" t="n">
        <v>1.15</v>
      </c>
      <c r="E37" t="n">
        <v>14</v>
      </c>
      <c r="F37" s="7" t="inlineStr">
        <is>
          <t>Run a full restore test, record how long it took, and repeat it every year.</t>
        </is>
      </c>
    </row>
    <row r="38">
      <c r="A38" t="inlineStr">
        <is>
          <t>ir_plan_tested</t>
        </is>
      </c>
      <c r="B38" t="inlineStr">
        <is>
          <t>Incident response plan tested</t>
        </is>
      </c>
      <c r="C38" t="inlineStr">
        <is>
          <t>Magnitude</t>
        </is>
      </c>
      <c r="D38" s="17" t="n">
        <v>1.1</v>
      </c>
      <c r="E38" t="n">
        <v>5</v>
      </c>
      <c r="F38" s="7" t="inlineStr">
        <is>
          <t>Write an incident response plan with named roles and rehearse it once a year.</t>
        </is>
      </c>
    </row>
    <row r="39">
      <c r="A39" t="inlineStr">
        <is>
          <t>monitoring_24x7</t>
        </is>
      </c>
      <c r="B39" t="inlineStr">
        <is>
          <t>24x7 monitoring</t>
        </is>
      </c>
      <c r="C39" t="inlineStr">
        <is>
          <t>Magnitude</t>
        </is>
      </c>
      <c r="D39" s="17" t="n">
        <v>1.15</v>
      </c>
      <c r="E39" t="n">
        <v>10</v>
      </c>
      <c r="F39" s="7" t="inlineStr">
        <is>
          <t>Arrange round-the-clock alert monitoring, in-house or through a managed detection and response service.</t>
        </is>
      </c>
    </row>
    <row r="40">
      <c r="A40" t="inlineStr">
        <is>
          <t>encryption_dlp</t>
        </is>
      </c>
      <c r="B40" t="inlineStr">
        <is>
          <t>Encryption or data loss prevention</t>
        </is>
      </c>
      <c r="C40" t="inlineStr">
        <is>
          <t>Magnitude</t>
        </is>
      </c>
      <c r="D40" s="17" t="n">
        <v>1.1</v>
      </c>
      <c r="E40" t="n">
        <v>3</v>
      </c>
      <c r="F40" s="7" t="inlineStr">
        <is>
          <t>Encrypt sensitive data at rest and in transit, and add data loss prevention for what can leave.</t>
        </is>
      </c>
    </row>
    <row r="42">
      <c r="A42" t="inlineStr">
        <is>
          <t>Tie-break order is the alphabetical rank of the key; it orders controls with equal savings, as the web calculator does.</t>
        </is>
      </c>
    </row>
    <row r="44">
      <c r="A44" s="11" t="inlineStr">
        <is>
          <t>Asset exposure: data class</t>
        </is>
      </c>
      <c r="B44" s="11" t="inlineStr">
        <is>
          <t>Chance weight</t>
        </is>
      </c>
      <c r="C44" s="11" t="inlineStr">
        <is>
          <t>Definition</t>
        </is>
      </c>
    </row>
    <row r="45">
      <c r="A45" t="inlineStr">
        <is>
          <t>Public</t>
        </is>
      </c>
      <c r="B45" s="17" t="n">
        <v>0.5</v>
      </c>
      <c r="C45" t="inlineStr">
        <is>
          <t>Meant for anyone to see, such as marketing pages.</t>
        </is>
      </c>
    </row>
    <row r="46">
      <c r="A46" t="inlineStr">
        <is>
          <t>Internal</t>
        </is>
      </c>
      <c r="B46" s="17" t="n">
        <v>1</v>
      </c>
      <c r="C46" t="inlineStr">
        <is>
          <t>For staff only; low harm if it leaks, such as internal notices.</t>
        </is>
      </c>
    </row>
    <row r="47">
      <c r="A47" t="inlineStr">
        <is>
          <t>Confidential</t>
        </is>
      </c>
      <c r="B47" s="17" t="n">
        <v>1.5</v>
      </c>
      <c r="C47" t="inlineStr">
        <is>
          <t>Harm to customers or the business if it leaks, such as customer records or contracts.</t>
        </is>
      </c>
    </row>
    <row r="48">
      <c r="A48" t="inlineStr">
        <is>
          <t>Restricted</t>
        </is>
      </c>
      <c r="B48" s="17" t="n">
        <v>2</v>
      </c>
      <c r="C48" t="inlineStr">
        <is>
          <t>Severe harm or legal duty if it leaks, such as health, payment or credential data.</t>
        </is>
      </c>
    </row>
    <row r="50">
      <c r="A50" t="inlineStr">
        <is>
          <t>Internet-facing: extra chance weight (assumption)</t>
        </is>
      </c>
      <c r="B50" s="17" t="n">
        <v>1.5</v>
      </c>
    </row>
    <row r="51">
      <c r="A51" t="inlineStr">
        <is>
          <t>Rating High: annual risk is at least this share of revenue (assumption)</t>
        </is>
      </c>
      <c r="B51" s="16" t="n">
        <v>0.01</v>
      </c>
    </row>
    <row r="52">
      <c r="A52" t="inlineStr">
        <is>
          <t>Rating Medium: annual risk is at least this share of revenue (assumption)</t>
        </is>
      </c>
      <c r="B52" s="16" t="n">
        <v>0.001</v>
      </c>
    </row>
    <row r="53">
      <c r="A53" t="inlineStr">
        <is>
          <t>Slow restore: more than this many days (assumption)</t>
        </is>
      </c>
      <c r="B53" s="8" t="n">
        <v>7</v>
      </c>
    </row>
    <row r="55">
      <c r="A55" s="11" t="inlineStr">
        <is>
          <t>Recovery and continuity: readiness points (assumption; they add up to 100)</t>
        </is>
      </c>
      <c r="B55" s="11" t="inlineStr">
        <is>
          <t>Points</t>
        </is>
      </c>
    </row>
    <row r="56">
      <c r="A56" t="inlineStr">
        <is>
          <t>Written business continuity plan (BCP)</t>
        </is>
      </c>
      <c r="B56" s="7" t="n">
        <v>20</v>
      </c>
    </row>
    <row r="57">
      <c r="A57" t="inlineStr">
        <is>
          <t>BCP tested in the last 12 months</t>
        </is>
      </c>
      <c r="B57" s="7" t="n">
        <v>20</v>
      </c>
    </row>
    <row r="58">
      <c r="A58" t="inlineStr">
        <is>
          <t>Disaster recovery tested in the last 12 months</t>
        </is>
      </c>
      <c r="B58" s="7" t="n">
        <v>20</v>
      </c>
    </row>
    <row r="59">
      <c r="A59" t="inlineStr">
        <is>
          <t>3-2-1 backups</t>
        </is>
      </c>
      <c r="B59" s="7" t="n">
        <v>10</v>
      </c>
    </row>
    <row r="60">
      <c r="A60" t="inlineStr">
        <is>
          <t>Incident tabletop exercise in the last 12 months</t>
        </is>
      </c>
      <c r="B60" s="7" t="n">
        <v>10</v>
      </c>
    </row>
    <row r="61">
      <c r="A61" t="inlineStr">
        <is>
          <t>A test or exercise counts only if it was within this many months (assumption)</t>
        </is>
      </c>
      <c r="B61" s="7" t="n">
        <v>12</v>
      </c>
    </row>
    <row r="62">
      <c r="A62" s="11" t="inlineStr">
        <is>
          <t>Disaster recovery level</t>
        </is>
      </c>
      <c r="B62" s="11" t="inlineStr">
        <is>
          <t>Points</t>
        </is>
      </c>
    </row>
    <row r="63">
      <c r="A63" t="inlineStr">
        <is>
          <t>None</t>
        </is>
      </c>
      <c r="B63" s="7" t="n">
        <v>0</v>
      </c>
    </row>
    <row r="64">
      <c r="A64" t="inlineStr">
        <is>
          <t>Cold</t>
        </is>
      </c>
      <c r="B64" s="7" t="n">
        <v>5</v>
      </c>
    </row>
    <row r="65">
      <c r="A65" t="inlineStr">
        <is>
          <t>Warm</t>
        </is>
      </c>
      <c r="B65" s="7" t="n">
        <v>15</v>
      </c>
    </row>
    <row r="66">
      <c r="A66" t="inlineStr">
        <is>
          <t>Hot</t>
        </is>
      </c>
      <c r="B66" s="7" t="n">
        <v>20</v>
      </c>
    </row>
    <row r="68">
      <c r="A68" s="11" t="inlineStr">
        <is>
          <t>Settings checks (live formulas; do not type here)</t>
        </is>
      </c>
      <c r="B68" s="11" t="inlineStr">
        <is>
          <t>Problems</t>
        </is>
      </c>
    </row>
    <row r="69">
      <c r="A69" t="inlineStr">
        <is>
          <t>Probabilities and shares not between 0 and 1</t>
        </is>
      </c>
      <c r="B69">
        <f>(ROWS(B3:B5)*COLUMNS(B3:B5)-COUNT(B3:B5))+COUNTIF(B3:B5,"&lt;0")+COUNTIF(B3:B5,"&gt;1")+(ROWS(B7)*COLUMNS(B7)-COUNT(B7))+COUNTIF(B7,"&lt;0")+COUNTIF(B7,"&gt;1")+(ROWS(B10:B17)*COLUMNS(B10:B17)-COUNT(B10:B17))+COUNTIF(B10:B17,"&lt;0")+COUNTIF(B10:B17,"&gt;1")+(ROWS(B51:B52)*COLUMNS(B51:B52)-COUNT(B51:B52))+COUNTIF(B51:B52,"&lt;0")+COUNTIF(B51:B52,"&gt;1")</f>
        <v/>
      </c>
    </row>
    <row r="70">
      <c r="A70" t="inlineStr">
        <is>
          <t>Multipliers not above 0 and at most 10</t>
        </is>
      </c>
      <c r="B70">
        <f>(ROWS(D26:D40)-COUNT(D26:D40))+COUNTIF(D26:D40,"&lt;=0")+COUNTIF(D26:D40,"&gt;10")</f>
        <v/>
      </c>
    </row>
    <row r="71">
      <c r="A71" t="inlineStr">
        <is>
          <t>Weights, money and months that are negative or not numbers</t>
        </is>
      </c>
      <c r="B71">
        <f>(ROWS(B6)*COLUMNS(B6)-COUNT(B6))+COUNTIF(B6,"&lt;0")+(ROWS(A20:C23)*COLUMNS(A20:C23)-COUNT(A20:C23))+COUNTIF(A20:C23,"&lt;0")+(ROWS(B45:B48)*COLUMNS(B45:B48)-COUNT(B45:B48))+COUNTIF(B45:B48,"&lt;0")+(ROWS(B50)*COLUMNS(B50)-COUNT(B50))+COUNTIF(B50,"&lt;0")+(ROWS(B53)*COLUMNS(B53)-COUNT(B53))+COUNTIF(B53,"&lt;0")+(ROWS(B56:B61)*COLUMNS(B56:B61)-COUNT(B56:B61))+COUNTIF(B56:B61,"&lt;0")+(ROWS(B63:B66)*COLUMNS(B63:B66)-COUNT(B63:B66))+COUNTIF(B63:B66,"&lt;0")</f>
        <v/>
      </c>
    </row>
    <row r="72">
      <c r="A72" t="inlineStr">
        <is>
          <t>Revenue tiers not in ascending order</t>
        </is>
      </c>
      <c r="B72">
        <f>IF(AND(A20&lt;A21,A21&lt;A22,A22&lt;A23),0,1)</f>
        <v/>
      </c>
    </row>
    <row r="74">
      <c r="A74" t="inlineStr">
        <is>
          <t>Model settings valid (1 = yes)</t>
        </is>
      </c>
      <c r="B74">
        <f>IF(SUM(B69:B72)=0,1,0)</f>
        <v/>
      </c>
    </row>
  </sheetData>
  <dataValidations count="3">
    <dataValidation sqref="B3:B5 B7 B10:B17 B51:B52" showErrorMessage="1" showInputMessage="1" allowBlank="0" errorTitle="Check this entry" error="Probabilities and shares must be between 0 and 1." type="decimal" operator="between">
      <formula1>0</formula1>
      <formula2>1</formula2>
    </dataValidation>
    <dataValidation sqref="D26:D40" showErrorMessage="1" showInputMessage="1" allowBlank="0" errorTitle="Check this entry" error="Multipliers must be above 0 and at most 10." type="decimal" operator="between">
      <formula1>0.001</formula1>
      <formula2>10</formula2>
    </dataValidation>
    <dataValidation sqref="B6 A20:C23 B45:B48 B50 B53 B56:B61 B63:B66" showErrorMessage="1" showInputMessage="1" allowBlank="1" errorTitle="Check this entry" error="Enter a number that is 0 or more. Leave blank only if you do not know; a blank is not a zero." type="decimal" operator="greaterThanOrEqual">
      <formula1>0</formula1>
    </dataValidation>
  </dataValidation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O50"/>
  <sheetViews>
    <sheetView workbookViewId="0">
      <selection activeCell="A1" sqref="A1"/>
    </sheetView>
  </sheetViews>
  <sheetFormatPr baseColWidth="8" defaultRowHeight="15"/>
  <cols>
    <col width="58" customWidth="1" min="1" max="1"/>
    <col width="18" customWidth="1" min="2" max="2"/>
    <col width="18" customWidth="1" min="3" max="3"/>
    <col width="18" customWidth="1" min="4" max="4"/>
    <col width="18" customWidth="1" min="5" max="5"/>
    <col width="14" customWidth="1" min="6" max="6"/>
    <col width="14" customWidth="1" min="7" max="7"/>
    <col width="16" customWidth="1" min="8" max="8"/>
    <col width="14" customWidth="1" min="9" max="9"/>
    <col width="18" customWidth="1" min="10" max="10"/>
    <col width="14" customWidth="1" min="11" max="11"/>
    <col width="14" customWidth="1" min="12" max="12"/>
    <col width="10" customWidth="1" min="13" max="13"/>
    <col width="14" customWidth="1" min="14" max="14"/>
    <col width="18" customWidth="1" min="15" max="15"/>
  </cols>
  <sheetData>
    <row r="1">
      <c r="A1" s="4" t="inlineStr">
        <is>
          <t>Results (live formulas; do not type here)</t>
        </is>
      </c>
    </row>
    <row r="2">
      <c r="A2" t="inlineStr">
        <is>
          <t>Status</t>
        </is>
      </c>
      <c r="B2" s="4">
        <f>Inputs!B26</f>
        <v/>
      </c>
    </row>
    <row r="3">
      <c r="A3" t="inlineStr">
        <is>
          <t>Multiplier on the chance of an incident (from No answers)</t>
        </is>
      </c>
      <c r="B3" s="18">
        <f>PRODUCT($F$36:$F$50)</f>
        <v/>
      </c>
    </row>
    <row r="4">
      <c r="A4" t="inlineStr">
        <is>
          <t>Multiplier on the size of the loss (from No answers)</t>
        </is>
      </c>
      <c r="B4" s="18">
        <f>PRODUCT($G$36:$G$50)</f>
        <v/>
      </c>
    </row>
    <row r="5">
      <c r="A5" t="inlineStr">
        <is>
          <t>Base chance of an incident for your sector</t>
        </is>
      </c>
      <c r="B5" s="19">
        <f>IFERROR(VLOOKUP(Inputs!B4,'Model settings'!$A$10:$B$17,2,FALSE),'Model settings'!$B$3)</f>
        <v/>
      </c>
    </row>
    <row r="6">
      <c r="A6" t="inlineStr">
        <is>
          <t>Chance of a significant incident in 12 months</t>
        </is>
      </c>
      <c r="B6" s="19">
        <f>IF(Inputs!$B$27=1,MIN(B5*B3,'Model settings'!$B$7),"")</f>
        <v/>
      </c>
    </row>
    <row r="7">
      <c r="A7" t="inlineStr">
        <is>
          <t>Revenue tier (1 = smallest)</t>
        </is>
      </c>
      <c r="B7" s="13">
        <f>COUNTIF('Model settings'!$A$20:$A$23,"&lt;="&amp;Inputs!B3)+1</f>
        <v/>
      </c>
    </row>
    <row r="8">
      <c r="A8" t="inlineStr">
        <is>
          <t>Published median loss for your tier (USD)</t>
        </is>
      </c>
      <c r="B8" s="15">
        <f>INDEX('Model settings'!$B$20:$B$23,B7)</f>
        <v/>
      </c>
    </row>
    <row r="9">
      <c r="A9" t="inlineStr">
        <is>
          <t>Published 95th percentile loss for your tier (USD)</t>
        </is>
      </c>
      <c r="B9" s="15">
        <f>INDEX('Model settings'!$C$20:$C$23,B7)</f>
        <v/>
      </c>
    </row>
    <row r="10">
      <c r="A10" s="11" t="inlineStr">
        <is>
          <t>Loss if one incident happens (USD): illustrative scenarios</t>
        </is>
      </c>
      <c r="B10" s="11" t="inlineStr">
        <is>
          <t>Low</t>
        </is>
      </c>
      <c r="C10" s="11" t="inlineStr">
        <is>
          <t>Likely</t>
        </is>
      </c>
      <c r="D10" s="11" t="inlineStr">
        <is>
          <t>High</t>
        </is>
      </c>
      <c r="E10" s="11" t="inlineStr">
        <is>
          <t>Weighted scenario average</t>
        </is>
      </c>
    </row>
    <row r="11">
      <c r="A11" t="inlineStr">
        <is>
          <t>Published benchmark for your revenue</t>
        </is>
      </c>
      <c r="B11" s="15">
        <f>IF(Inputs!$B$27=1,B8*'Model settings'!$B$4*B4,"")</f>
        <v/>
      </c>
      <c r="C11" s="15">
        <f>IF(Inputs!$B$27=1,B8*B4,"")</f>
        <v/>
      </c>
      <c r="D11" s="15">
        <f>IF(Inputs!$B$27=1,B9*B4,"")</f>
        <v/>
      </c>
      <c r="E11" s="15">
        <f>IF(B11="","",(B11+4*C11+D11)/6)</f>
        <v/>
      </c>
    </row>
    <row r="12">
      <c r="A12" t="inlineStr">
        <is>
          <t>Your scenario</t>
        </is>
      </c>
      <c r="B12" s="15">
        <f>IF(Inputs!$B$28=1,Inputs!$B$5*Inputs!$B$6+Inputs!$B$11+Inputs!$B$9*Inputs!$B$10+Inputs!$B$14+Resilience!$B$21,"")</f>
        <v/>
      </c>
      <c r="C12" s="15">
        <f>IF(Inputs!$B$28=1,Inputs!$B$5*Inputs!$B$7+Inputs!$B$12+Inputs!$B$9*Inputs!$B$10+Inputs!$B$15+Resilience!$B$22,"")</f>
        <v/>
      </c>
      <c r="D12" s="15">
        <f>IF(Inputs!$B$28=1,Inputs!$B$5*Inputs!$B$8+Inputs!$B$13+Inputs!$B$9*Inputs!$B$10+Inputs!$B$16+Resilience!$B$23,"")</f>
        <v/>
      </c>
      <c r="E12" s="15">
        <f>IF(B12="","",(B12+4*C12+D12)/6)</f>
        <v/>
      </c>
    </row>
    <row r="13">
      <c r="A13" t="inlineStr">
        <is>
          <t>Ransomware scenario</t>
        </is>
      </c>
      <c r="B13" s="15">
        <f>IF(Inputs!$B$28=1,Inputs!$B$5*Inputs!$B$6+Inputs!$B$11+IF(Inputs!$B$17="Yes",IF(ISNUMBER(Inputs!$B$18),Inputs!$B$18,'Model settings'!$B$6),0)+Resilience!$B$21,"")</f>
        <v/>
      </c>
      <c r="C13" s="15">
        <f>IF(Inputs!$B$28=1,Inputs!$B$5*Inputs!$B$7+Inputs!$B$12+IF(Inputs!$B$17="Yes",IF(ISNUMBER(Inputs!$B$18),Inputs!$B$18,'Model settings'!$B$6),0)+Resilience!$B$22,"")</f>
        <v/>
      </c>
      <c r="D13" s="15">
        <f>IF(Inputs!$B$28=1,Inputs!$B$5*Inputs!$B$8+Inputs!$B$13+IF(Inputs!$B$17="Yes",IF(ISNUMBER(Inputs!$B$18),Inputs!$B$18,'Model settings'!$B$6),0)+Resilience!$B$23,"")</f>
        <v/>
      </c>
      <c r="E13" s="15">
        <f>IF(B13="","",(B13+4*C13+D13)/6)</f>
        <v/>
      </c>
    </row>
    <row r="14">
      <c r="A14" t="inlineStr">
        <is>
          <t>Readiness answers still Unknown (of 15)</t>
        </is>
      </c>
      <c r="B14">
        <f>15-COUNTIF(Readiness!B4:B18,"Yes")-COUNTIF(Readiness!B4:B18,"No")</f>
        <v/>
      </c>
      <c r="C14">
        <f>IF(B14&gt;0,B14&amp;" of 15 answers unknown; the estimate assumes No for these.","All 15 readiness answers given.")</f>
        <v/>
      </c>
    </row>
    <row r="15">
      <c r="A15" t="inlineStr">
        <is>
          <t>Expected annual loss, published benchmark</t>
        </is>
      </c>
      <c r="B15" s="15">
        <f>IF(Inputs!$B$27=1,B6*E11,"")</f>
        <v/>
      </c>
      <c r="C15" t="inlineStr">
        <is>
          <t>Low, likely and high are illustrative scenarios (low = 25% of the published median, likely = published median, high = published 95th percentile), not a statistical distribution or confidence interval. The weighted scenario average is (low + 4 x likely + high) / 6. For your own scenario, low, likely and high are your figures.</t>
        </is>
      </c>
    </row>
    <row r="16">
      <c r="A16" t="inlineStr">
        <is>
          <t>Expected annual loss, your scenario</t>
        </is>
      </c>
      <c r="B16" s="15">
        <f>IF(Inputs!$B$28=1,B6*E12,"")</f>
        <v/>
      </c>
    </row>
    <row r="17">
      <c r="A17" t="inlineStr">
        <is>
          <t>Modelled annual chance of a ransomware incident</t>
        </is>
      </c>
      <c r="B17" s="19">
        <f>IF(Inputs!$B$27=1,B6*'Model settings'!$B$5,"")</f>
        <v/>
      </c>
      <c r="C17">
        <f>"Context: ransomware is present in "&amp;TEXT('Model settings'!$B$5,"0%")&amp;" of breaches (Verizon DBIR 2026 default). The figure above applies that share to the chance of an incident."</f>
        <v/>
      </c>
    </row>
    <row r="18">
      <c r="A18" t="inlineStr">
        <is>
          <t>Expected annual loss from ransomware</t>
        </is>
      </c>
      <c r="B18" s="15">
        <f>IF(Inputs!$B$28=1,B17*E13,"")</f>
        <v/>
      </c>
    </row>
    <row r="19">
      <c r="A19" t="inlineStr">
        <is>
          <t>Severe single incident (the largest modelled high case, ransomware included)</t>
        </is>
      </c>
      <c r="B19" s="15">
        <f>IF(Inputs!$B$28=1,MAX(D11,D12,D13),"")</f>
        <v/>
      </c>
      <c r="C19" t="inlineStr">
        <is>
          <t>The largest of the high cases: published benchmark, your scenario and ransomware.</t>
        </is>
      </c>
    </row>
    <row r="20">
      <c r="A20" t="inlineStr">
        <is>
          <t>Cover limit range to discuss with a broker: from</t>
        </is>
      </c>
      <c r="B20" s="15">
        <f>IF(Inputs!$B$28=1,MAX(E11,E12),"")</f>
        <v/>
      </c>
    </row>
    <row r="21">
      <c r="A21" t="inlineStr">
        <is>
          <t>Cover limit range to discuss with a broker: to</t>
        </is>
      </c>
      <c r="B21" s="15">
        <f>IF(Inputs!$B$28=1,B19,"")</f>
        <v/>
      </c>
    </row>
    <row r="22">
      <c r="A22" t="inlineStr">
        <is>
          <t>Multipliers are our assumptions, not validated or insurer pricing.</t>
        </is>
      </c>
    </row>
    <row r="23">
      <c r="A23" s="4" t="inlineStr">
        <is>
          <t>Largest modelled differences: expected annual loss if the answer became Yes (our assumptions; about, 2 significant figures)</t>
        </is>
      </c>
      <c r="D23" s="4" t="inlineStr">
        <is>
          <t>Loss breakdown (likely case)</t>
        </is>
      </c>
    </row>
    <row r="24">
      <c r="A24" s="11" t="inlineStr">
        <is>
          <t>Rank</t>
        </is>
      </c>
      <c r="B24" s="11" t="inlineStr">
        <is>
          <t>Control</t>
        </is>
      </c>
      <c r="C24" s="11" t="inlineStr">
        <is>
          <t>Modelled difference, about (USD per year)</t>
        </is>
      </c>
      <c r="D24" s="11" t="inlineStr">
        <is>
          <t>Part of one incident</t>
        </is>
      </c>
      <c r="E24" s="11" t="inlineStr">
        <is>
          <t>Likely case (USD)</t>
        </is>
      </c>
    </row>
    <row r="25">
      <c r="A25" t="n">
        <v>1</v>
      </c>
      <c r="B25">
        <f>IF(Inputs!$B$28&lt;&gt;1,"",IFERROR(IF(INDEX($K$36:$K$50,MATCH(A25,$M$36:$M$50,0))&lt;0,"",INDEX($B$36:$B$50,MATCH(A25,$M$36:$M$50,0))),""))</f>
        <v/>
      </c>
      <c r="C25" s="15">
        <f>IF(Inputs!$B$28&lt;&gt;1,"",IFERROR(IF(INDEX($O$36:$O$50,MATCH(A25,$M$36:$M$50,0))&lt;0,"",INDEX($O$36:$O$50,MATCH(A25,$M$36:$M$50,0))),""))</f>
        <v/>
      </c>
      <c r="D25" t="inlineStr">
        <is>
          <t>Downtime</t>
        </is>
      </c>
      <c r="E25" s="15">
        <f>IF(Inputs!$B$28=1,Inputs!$B$5*Inputs!$B$7,"")</f>
        <v/>
      </c>
    </row>
    <row r="26">
      <c r="A26" t="n">
        <v>2</v>
      </c>
      <c r="B26">
        <f>IF(Inputs!$B$28&lt;&gt;1,"",IFERROR(IF(INDEX($K$36:$K$50,MATCH(A26,$M$36:$M$50,0))&lt;0,"",INDEX($B$36:$B$50,MATCH(A26,$M$36:$M$50,0))),""))</f>
        <v/>
      </c>
      <c r="C26" s="15">
        <f>IF(Inputs!$B$28&lt;&gt;1,"",IFERROR(IF(INDEX($O$36:$O$50,MATCH(A26,$M$36:$M$50,0))&lt;0,"",INDEX($O$36:$O$50,MATCH(A26,$M$36:$M$50,0))),""))</f>
        <v/>
      </c>
      <c r="D26" t="inlineStr">
        <is>
          <t>Response</t>
        </is>
      </c>
      <c r="E26" s="15">
        <f>IF(Inputs!$B$28=1,Inputs!$B$12,"")</f>
        <v/>
      </c>
    </row>
    <row r="27">
      <c r="A27" t="n">
        <v>3</v>
      </c>
      <c r="B27">
        <f>IF(Inputs!$B$28&lt;&gt;1,"",IFERROR(IF(INDEX($K$36:$K$50,MATCH(A27,$M$36:$M$50,0))&lt;0,"",INDEX($B$36:$B$50,MATCH(A27,$M$36:$M$50,0))),""))</f>
        <v/>
      </c>
      <c r="C27" s="15">
        <f>IF(Inputs!$B$28&lt;&gt;1,"",IFERROR(IF(INDEX($O$36:$O$50,MATCH(A27,$M$36:$M$50,0))&lt;0,"",INDEX($O$36:$O$50,MATCH(A27,$M$36:$M$50,0))),""))</f>
        <v/>
      </c>
      <c r="D27" t="inlineStr">
        <is>
          <t>Notification</t>
        </is>
      </c>
      <c r="E27" s="15">
        <f>IF(Inputs!$B$28=1,Inputs!$B$9*Inputs!$B$10,"")</f>
        <v/>
      </c>
    </row>
    <row r="28">
      <c r="A28" t="n">
        <v>4</v>
      </c>
      <c r="B28">
        <f>IF(Inputs!$B$28&lt;&gt;1,"",IFERROR(IF(INDEX($K$36:$K$50,MATCH(A28,$M$36:$M$50,0))&lt;0,"",INDEX($B$36:$B$50,MATCH(A28,$M$36:$M$50,0))),""))</f>
        <v/>
      </c>
      <c r="C28" s="15">
        <f>IF(Inputs!$B$28&lt;&gt;1,"",IFERROR(IF(INDEX($O$36:$O$50,MATCH(A28,$M$36:$M$50,0))&lt;0,"",INDEX($O$36:$O$50,MATCH(A28,$M$36:$M$50,0))),""))</f>
        <v/>
      </c>
      <c r="D28" t="inlineStr">
        <is>
          <t>Fines</t>
        </is>
      </c>
      <c r="E28" s="15">
        <f>IF(Inputs!$B$28=1,Inputs!$B$15,"")</f>
        <v/>
      </c>
    </row>
    <row r="29">
      <c r="A29" t="n">
        <v>5</v>
      </c>
      <c r="B29">
        <f>IF(Inputs!$B$28&lt;&gt;1,"",IFERROR(IF(INDEX($K$36:$K$50,MATCH(A29,$M$36:$M$50,0))&lt;0,"",INDEX($B$36:$B$50,MATCH(A29,$M$36:$M$50,0))),""))</f>
        <v/>
      </c>
      <c r="C29" s="15">
        <f>IF(Inputs!$B$28&lt;&gt;1,"",IFERROR(IF(INDEX($O$36:$O$50,MATCH(A29,$M$36:$M$50,0))&lt;0,"",INDEX($O$36:$O$50,MATCH(A29,$M$36:$M$50,0))),""))</f>
        <v/>
      </c>
      <c r="D29" t="inlineStr">
        <is>
          <t>Ransom</t>
        </is>
      </c>
      <c r="E29" s="15">
        <f>IF(Inputs!$B$28=1,IF(Inputs!$B$17="Yes",IF(ISNUMBER(Inputs!$B$18),Inputs!$B$18,'Model settings'!$B$6),0),"")</f>
        <v/>
      </c>
    </row>
    <row r="30">
      <c r="D30" t="inlineStr">
        <is>
          <t>Data loss</t>
        </is>
      </c>
      <c r="E30" s="15">
        <f>IF(Inputs!$B$28=1,Resilience!$B$22,"")</f>
        <v/>
      </c>
    </row>
    <row r="31">
      <c r="A31" t="inlineStr">
        <is>
          <t>Estimates for planning and insurance conversations. Not insurance, legal or financial advice.</t>
        </is>
      </c>
    </row>
    <row r="33">
      <c r="A33" s="4" t="inlineStr">
        <is>
          <t>Working: one row per control (the gaps are computed here)</t>
        </is>
      </c>
    </row>
    <row r="35">
      <c r="A35" s="11" t="inlineStr">
        <is>
          <t>Control key</t>
        </is>
      </c>
      <c r="B35" s="11" t="inlineStr">
        <is>
          <t>Label</t>
        </is>
      </c>
      <c r="C35" s="11" t="inlineStr">
        <is>
          <t>Answer</t>
        </is>
      </c>
      <c r="D35" s="11" t="inlineStr">
        <is>
          <t>Affects</t>
        </is>
      </c>
      <c r="E35" s="11" t="inlineStr">
        <is>
          <t>Factor</t>
        </is>
      </c>
      <c r="F35" s="11" t="inlineStr">
        <is>
          <t>Chance multiplier</t>
        </is>
      </c>
      <c r="G35" s="11" t="inlineStr">
        <is>
          <t>Size multiplier</t>
        </is>
      </c>
      <c r="H35" s="11" t="inlineStr">
        <is>
          <t>Chance if Yes</t>
        </is>
      </c>
      <c r="I35" s="11" t="inlineStr">
        <is>
          <t>Size multiplier if Yes</t>
        </is>
      </c>
      <c r="J35" s="11" t="inlineStr">
        <is>
          <t>Annual loss if Yes</t>
        </is>
      </c>
      <c r="K35" s="11" t="inlineStr">
        <is>
          <t>Saved if Yes (USD)</t>
        </is>
      </c>
      <c r="L35" s="11" t="inlineStr">
        <is>
          <t>Tie-break order</t>
        </is>
      </c>
      <c r="M35" s="11" t="inlineStr">
        <is>
          <t>Rank</t>
        </is>
      </c>
      <c r="N35" s="11" t="inlineStr">
        <is>
          <t>Sort score</t>
        </is>
      </c>
      <c r="O35" s="11" t="inlineStr">
        <is>
          <t>Saved, about (2 significant figures)</t>
        </is>
      </c>
    </row>
    <row r="36">
      <c r="A36">
        <f>'Model settings'!A26</f>
        <v/>
      </c>
      <c r="B36">
        <f>'Model settings'!B26</f>
        <v/>
      </c>
      <c r="C36">
        <f>Readiness!B4</f>
        <v/>
      </c>
      <c r="D36">
        <f>'Model settings'!C26</f>
        <v/>
      </c>
      <c r="E36">
        <f>'Model settings'!D26</f>
        <v/>
      </c>
      <c r="F36">
        <f>IF(AND(C36&lt;&gt;"Yes",D36="Frequency"),E36,1)</f>
        <v/>
      </c>
      <c r="G36">
        <f>IF(AND(C36&lt;&gt;"Yes",D36="Magnitude"),E36,1)</f>
        <v/>
      </c>
      <c r="H36">
        <f>IFERROR(IF(C36&lt;&gt;"Yes",IF(F36=0,0,MIN($B$5*$B$3/F36,'Model settings'!$B$7)),$B$6),0)</f>
        <v/>
      </c>
      <c r="I36">
        <f>IFERROR(IF(C36&lt;&gt;"Yes",IF(G36=0,0,$B$4/G36),$B$4),0)</f>
        <v/>
      </c>
      <c r="J36" s="15">
        <f>IFERROR(IF($B$4=0,0,MAX(H36*($E$11/$B$4)*I36,H36*$E$12)),0)</f>
        <v/>
      </c>
      <c r="K36" s="15">
        <f>IFERROR(IF(C36&lt;&gt;"Yes",ROUND(MAX($B$15,$B$16)-J36,2),-1),-1)</f>
        <v/>
      </c>
      <c r="L36">
        <f>'Model settings'!E26</f>
        <v/>
      </c>
      <c r="M36">
        <f>RANK(N36,$N$36:$N$50,0)</f>
        <v/>
      </c>
      <c r="N36">
        <f>K36-L36/100000</f>
        <v/>
      </c>
      <c r="O36" s="15">
        <f>IF(K36&lt;0,-1,IF(K36=0,0,ROUND(K36,1-INT(LOG10(ABS(K36))))))</f>
        <v/>
      </c>
    </row>
    <row r="37">
      <c r="A37">
        <f>'Model settings'!A27</f>
        <v/>
      </c>
      <c r="B37">
        <f>'Model settings'!B27</f>
        <v/>
      </c>
      <c r="C37">
        <f>Readiness!B5</f>
        <v/>
      </c>
      <c r="D37">
        <f>'Model settings'!C27</f>
        <v/>
      </c>
      <c r="E37">
        <f>'Model settings'!D27</f>
        <v/>
      </c>
      <c r="F37">
        <f>IF(AND(C37&lt;&gt;"Yes",D37="Frequency"),E37,1)</f>
        <v/>
      </c>
      <c r="G37">
        <f>IF(AND(C37&lt;&gt;"Yes",D37="Magnitude"),E37,1)</f>
        <v/>
      </c>
      <c r="H37">
        <f>IFERROR(IF(C37&lt;&gt;"Yes",IF(F37=0,0,MIN($B$5*$B$3/F37,'Model settings'!$B$7)),$B$6),0)</f>
        <v/>
      </c>
      <c r="I37">
        <f>IFERROR(IF(C37&lt;&gt;"Yes",IF(G37=0,0,$B$4/G37),$B$4),0)</f>
        <v/>
      </c>
      <c r="J37" s="15">
        <f>IFERROR(IF($B$4=0,0,MAX(H37*($E$11/$B$4)*I37,H37*$E$12)),0)</f>
        <v/>
      </c>
      <c r="K37" s="15">
        <f>IFERROR(IF(C37&lt;&gt;"Yes",ROUND(MAX($B$15,$B$16)-J37,2),-1),-1)</f>
        <v/>
      </c>
      <c r="L37">
        <f>'Model settings'!E27</f>
        <v/>
      </c>
      <c r="M37">
        <f>RANK(N37,$N$36:$N$50,0)</f>
        <v/>
      </c>
      <c r="N37">
        <f>K37-L37/100000</f>
        <v/>
      </c>
      <c r="O37" s="15">
        <f>IF(K37&lt;0,-1,IF(K37=0,0,ROUND(K37,1-INT(LOG10(ABS(K37))))))</f>
        <v/>
      </c>
    </row>
    <row r="38">
      <c r="A38">
        <f>'Model settings'!A28</f>
        <v/>
      </c>
      <c r="B38">
        <f>'Model settings'!B28</f>
        <v/>
      </c>
      <c r="C38">
        <f>Readiness!B6</f>
        <v/>
      </c>
      <c r="D38">
        <f>'Model settings'!C28</f>
        <v/>
      </c>
      <c r="E38">
        <f>'Model settings'!D28</f>
        <v/>
      </c>
      <c r="F38">
        <f>IF(AND(C38&lt;&gt;"Yes",D38="Frequency"),E38,1)</f>
        <v/>
      </c>
      <c r="G38">
        <f>IF(AND(C38&lt;&gt;"Yes",D38="Magnitude"),E38,1)</f>
        <v/>
      </c>
      <c r="H38">
        <f>IFERROR(IF(C38&lt;&gt;"Yes",IF(F38=0,0,MIN($B$5*$B$3/F38,'Model settings'!$B$7)),$B$6),0)</f>
        <v/>
      </c>
      <c r="I38">
        <f>IFERROR(IF(C38&lt;&gt;"Yes",IF(G38=0,0,$B$4/G38),$B$4),0)</f>
        <v/>
      </c>
      <c r="J38" s="15">
        <f>IFERROR(IF($B$4=0,0,MAX(H38*($E$11/$B$4)*I38,H38*$E$12)),0)</f>
        <v/>
      </c>
      <c r="K38" s="15">
        <f>IFERROR(IF(C38&lt;&gt;"Yes",ROUND(MAX($B$15,$B$16)-J38,2),-1),-1)</f>
        <v/>
      </c>
      <c r="L38">
        <f>'Model settings'!E28</f>
        <v/>
      </c>
      <c r="M38">
        <f>RANK(N38,$N$36:$N$50,0)</f>
        <v/>
      </c>
      <c r="N38">
        <f>K38-L38/100000</f>
        <v/>
      </c>
      <c r="O38" s="15">
        <f>IF(K38&lt;0,-1,IF(K38=0,0,ROUND(K38,1-INT(LOG10(ABS(K38))))))</f>
        <v/>
      </c>
    </row>
    <row r="39">
      <c r="A39">
        <f>'Model settings'!A29</f>
        <v/>
      </c>
      <c r="B39">
        <f>'Model settings'!B29</f>
        <v/>
      </c>
      <c r="C39">
        <f>Readiness!B7</f>
        <v/>
      </c>
      <c r="D39">
        <f>'Model settings'!C29</f>
        <v/>
      </c>
      <c r="E39">
        <f>'Model settings'!D29</f>
        <v/>
      </c>
      <c r="F39">
        <f>IF(AND(C39&lt;&gt;"Yes",D39="Frequency"),E39,1)</f>
        <v/>
      </c>
      <c r="G39">
        <f>IF(AND(C39&lt;&gt;"Yes",D39="Magnitude"),E39,1)</f>
        <v/>
      </c>
      <c r="H39">
        <f>IFERROR(IF(C39&lt;&gt;"Yes",IF(F39=0,0,MIN($B$5*$B$3/F39,'Model settings'!$B$7)),$B$6),0)</f>
        <v/>
      </c>
      <c r="I39">
        <f>IFERROR(IF(C39&lt;&gt;"Yes",IF(G39=0,0,$B$4/G39),$B$4),0)</f>
        <v/>
      </c>
      <c r="J39" s="15">
        <f>IFERROR(IF($B$4=0,0,MAX(H39*($E$11/$B$4)*I39,H39*$E$12)),0)</f>
        <v/>
      </c>
      <c r="K39" s="15">
        <f>IFERROR(IF(C39&lt;&gt;"Yes",ROUND(MAX($B$15,$B$16)-J39,2),-1),-1)</f>
        <v/>
      </c>
      <c r="L39">
        <f>'Model settings'!E29</f>
        <v/>
      </c>
      <c r="M39">
        <f>RANK(N39,$N$36:$N$50,0)</f>
        <v/>
      </c>
      <c r="N39">
        <f>K39-L39/100000</f>
        <v/>
      </c>
      <c r="O39" s="15">
        <f>IF(K39&lt;0,-1,IF(K39=0,0,ROUND(K39,1-INT(LOG10(ABS(K39))))))</f>
        <v/>
      </c>
    </row>
    <row r="40">
      <c r="A40">
        <f>'Model settings'!A30</f>
        <v/>
      </c>
      <c r="B40">
        <f>'Model settings'!B30</f>
        <v/>
      </c>
      <c r="C40">
        <f>Readiness!B8</f>
        <v/>
      </c>
      <c r="D40">
        <f>'Model settings'!C30</f>
        <v/>
      </c>
      <c r="E40">
        <f>'Model settings'!D30</f>
        <v/>
      </c>
      <c r="F40">
        <f>IF(AND(C40&lt;&gt;"Yes",D40="Frequency"),E40,1)</f>
        <v/>
      </c>
      <c r="G40">
        <f>IF(AND(C40&lt;&gt;"Yes",D40="Magnitude"),E40,1)</f>
        <v/>
      </c>
      <c r="H40">
        <f>IFERROR(IF(C40&lt;&gt;"Yes",IF(F40=0,0,MIN($B$5*$B$3/F40,'Model settings'!$B$7)),$B$6),0)</f>
        <v/>
      </c>
      <c r="I40">
        <f>IFERROR(IF(C40&lt;&gt;"Yes",IF(G40=0,0,$B$4/G40),$B$4),0)</f>
        <v/>
      </c>
      <c r="J40" s="15">
        <f>IFERROR(IF($B$4=0,0,MAX(H40*($E$11/$B$4)*I40,H40*$E$12)),0)</f>
        <v/>
      </c>
      <c r="K40" s="15">
        <f>IFERROR(IF(C40&lt;&gt;"Yes",ROUND(MAX($B$15,$B$16)-J40,2),-1),-1)</f>
        <v/>
      </c>
      <c r="L40">
        <f>'Model settings'!E30</f>
        <v/>
      </c>
      <c r="M40">
        <f>RANK(N40,$N$36:$N$50,0)</f>
        <v/>
      </c>
      <c r="N40">
        <f>K40-L40/100000</f>
        <v/>
      </c>
      <c r="O40" s="15">
        <f>IF(K40&lt;0,-1,IF(K40=0,0,ROUND(K40,1-INT(LOG10(ABS(K40))))))</f>
        <v/>
      </c>
    </row>
    <row r="41">
      <c r="A41">
        <f>'Model settings'!A31</f>
        <v/>
      </c>
      <c r="B41">
        <f>'Model settings'!B31</f>
        <v/>
      </c>
      <c r="C41">
        <f>Readiness!B9</f>
        <v/>
      </c>
      <c r="D41">
        <f>'Model settings'!C31</f>
        <v/>
      </c>
      <c r="E41">
        <f>'Model settings'!D31</f>
        <v/>
      </c>
      <c r="F41">
        <f>IF(AND(C41&lt;&gt;"Yes",D41="Frequency"),E41,1)</f>
        <v/>
      </c>
      <c r="G41">
        <f>IF(AND(C41&lt;&gt;"Yes",D41="Magnitude"),E41,1)</f>
        <v/>
      </c>
      <c r="H41">
        <f>IFERROR(IF(C41&lt;&gt;"Yes",IF(F41=0,0,MIN($B$5*$B$3/F41,'Model settings'!$B$7)),$B$6),0)</f>
        <v/>
      </c>
      <c r="I41">
        <f>IFERROR(IF(C41&lt;&gt;"Yes",IF(G41=0,0,$B$4/G41),$B$4),0)</f>
        <v/>
      </c>
      <c r="J41" s="15">
        <f>IFERROR(IF($B$4=0,0,MAX(H41*($E$11/$B$4)*I41,H41*$E$12)),0)</f>
        <v/>
      </c>
      <c r="K41" s="15">
        <f>IFERROR(IF(C41&lt;&gt;"Yes",ROUND(MAX($B$15,$B$16)-J41,2),-1),-1)</f>
        <v/>
      </c>
      <c r="L41">
        <f>'Model settings'!E31</f>
        <v/>
      </c>
      <c r="M41">
        <f>RANK(N41,$N$36:$N$50,0)</f>
        <v/>
      </c>
      <c r="N41">
        <f>K41-L41/100000</f>
        <v/>
      </c>
      <c r="O41" s="15">
        <f>IF(K41&lt;0,-1,IF(K41=0,0,ROUND(K41,1-INT(LOG10(ABS(K41))))))</f>
        <v/>
      </c>
    </row>
    <row r="42">
      <c r="A42">
        <f>'Model settings'!A32</f>
        <v/>
      </c>
      <c r="B42">
        <f>'Model settings'!B32</f>
        <v/>
      </c>
      <c r="C42">
        <f>Readiness!B10</f>
        <v/>
      </c>
      <c r="D42">
        <f>'Model settings'!C32</f>
        <v/>
      </c>
      <c r="E42">
        <f>'Model settings'!D32</f>
        <v/>
      </c>
      <c r="F42">
        <f>IF(AND(C42&lt;&gt;"Yes",D42="Frequency"),E42,1)</f>
        <v/>
      </c>
      <c r="G42">
        <f>IF(AND(C42&lt;&gt;"Yes",D42="Magnitude"),E42,1)</f>
        <v/>
      </c>
      <c r="H42">
        <f>IFERROR(IF(C42&lt;&gt;"Yes",IF(F42=0,0,MIN($B$5*$B$3/F42,'Model settings'!$B$7)),$B$6),0)</f>
        <v/>
      </c>
      <c r="I42">
        <f>IFERROR(IF(C42&lt;&gt;"Yes",IF(G42=0,0,$B$4/G42),$B$4),0)</f>
        <v/>
      </c>
      <c r="J42" s="15">
        <f>IFERROR(IF($B$4=0,0,MAX(H42*($E$11/$B$4)*I42,H42*$E$12)),0)</f>
        <v/>
      </c>
      <c r="K42" s="15">
        <f>IFERROR(IF(C42&lt;&gt;"Yes",ROUND(MAX($B$15,$B$16)-J42,2),-1),-1)</f>
        <v/>
      </c>
      <c r="L42">
        <f>'Model settings'!E32</f>
        <v/>
      </c>
      <c r="M42">
        <f>RANK(N42,$N$36:$N$50,0)</f>
        <v/>
      </c>
      <c r="N42">
        <f>K42-L42/100000</f>
        <v/>
      </c>
      <c r="O42" s="15">
        <f>IF(K42&lt;0,-1,IF(K42=0,0,ROUND(K42,1-INT(LOG10(ABS(K42))))))</f>
        <v/>
      </c>
    </row>
    <row r="43">
      <c r="A43">
        <f>'Model settings'!A33</f>
        <v/>
      </c>
      <c r="B43">
        <f>'Model settings'!B33</f>
        <v/>
      </c>
      <c r="C43">
        <f>Readiness!B11</f>
        <v/>
      </c>
      <c r="D43">
        <f>'Model settings'!C33</f>
        <v/>
      </c>
      <c r="E43">
        <f>'Model settings'!D33</f>
        <v/>
      </c>
      <c r="F43">
        <f>IF(AND(C43&lt;&gt;"Yes",D43="Frequency"),E43,1)</f>
        <v/>
      </c>
      <c r="G43">
        <f>IF(AND(C43&lt;&gt;"Yes",D43="Magnitude"),E43,1)</f>
        <v/>
      </c>
      <c r="H43">
        <f>IFERROR(IF(C43&lt;&gt;"Yes",IF(F43=0,0,MIN($B$5*$B$3/F43,'Model settings'!$B$7)),$B$6),0)</f>
        <v/>
      </c>
      <c r="I43">
        <f>IFERROR(IF(C43&lt;&gt;"Yes",IF(G43=0,0,$B$4/G43),$B$4),0)</f>
        <v/>
      </c>
      <c r="J43" s="15">
        <f>IFERROR(IF($B$4=0,0,MAX(H43*($E$11/$B$4)*I43,H43*$E$12)),0)</f>
        <v/>
      </c>
      <c r="K43" s="15">
        <f>IFERROR(IF(C43&lt;&gt;"Yes",ROUND(MAX($B$15,$B$16)-J43,2),-1),-1)</f>
        <v/>
      </c>
      <c r="L43">
        <f>'Model settings'!E33</f>
        <v/>
      </c>
      <c r="M43">
        <f>RANK(N43,$N$36:$N$50,0)</f>
        <v/>
      </c>
      <c r="N43">
        <f>K43-L43/100000</f>
        <v/>
      </c>
      <c r="O43" s="15">
        <f>IF(K43&lt;0,-1,IF(K43=0,0,ROUND(K43,1-INT(LOG10(ABS(K43))))))</f>
        <v/>
      </c>
    </row>
    <row r="44">
      <c r="A44">
        <f>'Model settings'!A34</f>
        <v/>
      </c>
      <c r="B44">
        <f>'Model settings'!B34</f>
        <v/>
      </c>
      <c r="C44">
        <f>Readiness!B12</f>
        <v/>
      </c>
      <c r="D44">
        <f>'Model settings'!C34</f>
        <v/>
      </c>
      <c r="E44">
        <f>'Model settings'!D34</f>
        <v/>
      </c>
      <c r="F44">
        <f>IF(AND(C44&lt;&gt;"Yes",D44="Frequency"),E44,1)</f>
        <v/>
      </c>
      <c r="G44">
        <f>IF(AND(C44&lt;&gt;"Yes",D44="Magnitude"),E44,1)</f>
        <v/>
      </c>
      <c r="H44">
        <f>IFERROR(IF(C44&lt;&gt;"Yes",IF(F44=0,0,MIN($B$5*$B$3/F44,'Model settings'!$B$7)),$B$6),0)</f>
        <v/>
      </c>
      <c r="I44">
        <f>IFERROR(IF(C44&lt;&gt;"Yes",IF(G44=0,0,$B$4/G44),$B$4),0)</f>
        <v/>
      </c>
      <c r="J44" s="15">
        <f>IFERROR(IF($B$4=0,0,MAX(H44*($E$11/$B$4)*I44,H44*$E$12)),0)</f>
        <v/>
      </c>
      <c r="K44" s="15">
        <f>IFERROR(IF(C44&lt;&gt;"Yes",ROUND(MAX($B$15,$B$16)-J44,2),-1),-1)</f>
        <v/>
      </c>
      <c r="L44">
        <f>'Model settings'!E34</f>
        <v/>
      </c>
      <c r="M44">
        <f>RANK(N44,$N$36:$N$50,0)</f>
        <v/>
      </c>
      <c r="N44">
        <f>K44-L44/100000</f>
        <v/>
      </c>
      <c r="O44" s="15">
        <f>IF(K44&lt;0,-1,IF(K44=0,0,ROUND(K44,1-INT(LOG10(ABS(K44))))))</f>
        <v/>
      </c>
    </row>
    <row r="45">
      <c r="A45">
        <f>'Model settings'!A35</f>
        <v/>
      </c>
      <c r="B45">
        <f>'Model settings'!B35</f>
        <v/>
      </c>
      <c r="C45">
        <f>Readiness!B13</f>
        <v/>
      </c>
      <c r="D45">
        <f>'Model settings'!C35</f>
        <v/>
      </c>
      <c r="E45">
        <f>'Model settings'!D35</f>
        <v/>
      </c>
      <c r="F45">
        <f>IF(AND(C45&lt;&gt;"Yes",D45="Frequency"),E45,1)</f>
        <v/>
      </c>
      <c r="G45">
        <f>IF(AND(C45&lt;&gt;"Yes",D45="Magnitude"),E45,1)</f>
        <v/>
      </c>
      <c r="H45">
        <f>IFERROR(IF(C45&lt;&gt;"Yes",IF(F45=0,0,MIN($B$5*$B$3/F45,'Model settings'!$B$7)),$B$6),0)</f>
        <v/>
      </c>
      <c r="I45">
        <f>IFERROR(IF(C45&lt;&gt;"Yes",IF(G45=0,0,$B$4/G45),$B$4),0)</f>
        <v/>
      </c>
      <c r="J45" s="15">
        <f>IFERROR(IF($B$4=0,0,MAX(H45*($E$11/$B$4)*I45,H45*$E$12)),0)</f>
        <v/>
      </c>
      <c r="K45" s="15">
        <f>IFERROR(IF(C45&lt;&gt;"Yes",ROUND(MAX($B$15,$B$16)-J45,2),-1),-1)</f>
        <v/>
      </c>
      <c r="L45">
        <f>'Model settings'!E35</f>
        <v/>
      </c>
      <c r="M45">
        <f>RANK(N45,$N$36:$N$50,0)</f>
        <v/>
      </c>
      <c r="N45">
        <f>K45-L45/100000</f>
        <v/>
      </c>
      <c r="O45" s="15">
        <f>IF(K45&lt;0,-1,IF(K45=0,0,ROUND(K45,1-INT(LOG10(ABS(K45))))))</f>
        <v/>
      </c>
    </row>
    <row r="46">
      <c r="A46">
        <f>'Model settings'!A36</f>
        <v/>
      </c>
      <c r="B46">
        <f>'Model settings'!B36</f>
        <v/>
      </c>
      <c r="C46">
        <f>Readiness!B14</f>
        <v/>
      </c>
      <c r="D46">
        <f>'Model settings'!C36</f>
        <v/>
      </c>
      <c r="E46">
        <f>'Model settings'!D36</f>
        <v/>
      </c>
      <c r="F46">
        <f>IF(AND(C46&lt;&gt;"Yes",D46="Frequency"),E46,1)</f>
        <v/>
      </c>
      <c r="G46">
        <f>IF(AND(C46&lt;&gt;"Yes",D46="Magnitude"),E46,1)</f>
        <v/>
      </c>
      <c r="H46">
        <f>IFERROR(IF(C46&lt;&gt;"Yes",IF(F46=0,0,MIN($B$5*$B$3/F46,'Model settings'!$B$7)),$B$6),0)</f>
        <v/>
      </c>
      <c r="I46">
        <f>IFERROR(IF(C46&lt;&gt;"Yes",IF(G46=0,0,$B$4/G46),$B$4),0)</f>
        <v/>
      </c>
      <c r="J46" s="15">
        <f>IFERROR(IF($B$4=0,0,MAX(H46*($E$11/$B$4)*I46,H46*$E$12)),0)</f>
        <v/>
      </c>
      <c r="K46" s="15">
        <f>IFERROR(IF(C46&lt;&gt;"Yes",ROUND(MAX($B$15,$B$16)-J46,2),-1),-1)</f>
        <v/>
      </c>
      <c r="L46">
        <f>'Model settings'!E36</f>
        <v/>
      </c>
      <c r="M46">
        <f>RANK(N46,$N$36:$N$50,0)</f>
        <v/>
      </c>
      <c r="N46">
        <f>K46-L46/100000</f>
        <v/>
      </c>
      <c r="O46" s="15">
        <f>IF(K46&lt;0,-1,IF(K46=0,0,ROUND(K46,1-INT(LOG10(ABS(K46))))))</f>
        <v/>
      </c>
    </row>
    <row r="47">
      <c r="A47">
        <f>'Model settings'!A37</f>
        <v/>
      </c>
      <c r="B47">
        <f>'Model settings'!B37</f>
        <v/>
      </c>
      <c r="C47">
        <f>Readiness!B15</f>
        <v/>
      </c>
      <c r="D47">
        <f>'Model settings'!C37</f>
        <v/>
      </c>
      <c r="E47">
        <f>'Model settings'!D37</f>
        <v/>
      </c>
      <c r="F47">
        <f>IF(AND(C47&lt;&gt;"Yes",D47="Frequency"),E47,1)</f>
        <v/>
      </c>
      <c r="G47">
        <f>IF(AND(C47&lt;&gt;"Yes",D47="Magnitude"),E47,1)</f>
        <v/>
      </c>
      <c r="H47">
        <f>IFERROR(IF(C47&lt;&gt;"Yes",IF(F47=0,0,MIN($B$5*$B$3/F47,'Model settings'!$B$7)),$B$6),0)</f>
        <v/>
      </c>
      <c r="I47">
        <f>IFERROR(IF(C47&lt;&gt;"Yes",IF(G47=0,0,$B$4/G47),$B$4),0)</f>
        <v/>
      </c>
      <c r="J47" s="15">
        <f>IFERROR(IF($B$4=0,0,MAX(H47*($E$11/$B$4)*I47,H47*$E$12)),0)</f>
        <v/>
      </c>
      <c r="K47" s="15">
        <f>IFERROR(IF(C47&lt;&gt;"Yes",ROUND(MAX($B$15,$B$16)-J47,2),-1),-1)</f>
        <v/>
      </c>
      <c r="L47">
        <f>'Model settings'!E37</f>
        <v/>
      </c>
      <c r="M47">
        <f>RANK(N47,$N$36:$N$50,0)</f>
        <v/>
      </c>
      <c r="N47">
        <f>K47-L47/100000</f>
        <v/>
      </c>
      <c r="O47" s="15">
        <f>IF(K47&lt;0,-1,IF(K47=0,0,ROUND(K47,1-INT(LOG10(ABS(K47))))))</f>
        <v/>
      </c>
    </row>
    <row r="48">
      <c r="A48">
        <f>'Model settings'!A38</f>
        <v/>
      </c>
      <c r="B48">
        <f>'Model settings'!B38</f>
        <v/>
      </c>
      <c r="C48">
        <f>Readiness!B16</f>
        <v/>
      </c>
      <c r="D48">
        <f>'Model settings'!C38</f>
        <v/>
      </c>
      <c r="E48">
        <f>'Model settings'!D38</f>
        <v/>
      </c>
      <c r="F48">
        <f>IF(AND(C48&lt;&gt;"Yes",D48="Frequency"),E48,1)</f>
        <v/>
      </c>
      <c r="G48">
        <f>IF(AND(C48&lt;&gt;"Yes",D48="Magnitude"),E48,1)</f>
        <v/>
      </c>
      <c r="H48">
        <f>IFERROR(IF(C48&lt;&gt;"Yes",IF(F48=0,0,MIN($B$5*$B$3/F48,'Model settings'!$B$7)),$B$6),0)</f>
        <v/>
      </c>
      <c r="I48">
        <f>IFERROR(IF(C48&lt;&gt;"Yes",IF(G48=0,0,$B$4/G48),$B$4),0)</f>
        <v/>
      </c>
      <c r="J48" s="15">
        <f>IFERROR(IF($B$4=0,0,MAX(H48*($E$11/$B$4)*I48,H48*$E$12)),0)</f>
        <v/>
      </c>
      <c r="K48" s="15">
        <f>IFERROR(IF(C48&lt;&gt;"Yes",ROUND(MAX($B$15,$B$16)-J48,2),-1),-1)</f>
        <v/>
      </c>
      <c r="L48">
        <f>'Model settings'!E38</f>
        <v/>
      </c>
      <c r="M48">
        <f>RANK(N48,$N$36:$N$50,0)</f>
        <v/>
      </c>
      <c r="N48">
        <f>K48-L48/100000</f>
        <v/>
      </c>
      <c r="O48" s="15">
        <f>IF(K48&lt;0,-1,IF(K48=0,0,ROUND(K48,1-INT(LOG10(ABS(K48))))))</f>
        <v/>
      </c>
    </row>
    <row r="49">
      <c r="A49">
        <f>'Model settings'!A39</f>
        <v/>
      </c>
      <c r="B49">
        <f>'Model settings'!B39</f>
        <v/>
      </c>
      <c r="C49">
        <f>Readiness!B17</f>
        <v/>
      </c>
      <c r="D49">
        <f>'Model settings'!C39</f>
        <v/>
      </c>
      <c r="E49">
        <f>'Model settings'!D39</f>
        <v/>
      </c>
      <c r="F49">
        <f>IF(AND(C49&lt;&gt;"Yes",D49="Frequency"),E49,1)</f>
        <v/>
      </c>
      <c r="G49">
        <f>IF(AND(C49&lt;&gt;"Yes",D49="Magnitude"),E49,1)</f>
        <v/>
      </c>
      <c r="H49">
        <f>IFERROR(IF(C49&lt;&gt;"Yes",IF(F49=0,0,MIN($B$5*$B$3/F49,'Model settings'!$B$7)),$B$6),0)</f>
        <v/>
      </c>
      <c r="I49">
        <f>IFERROR(IF(C49&lt;&gt;"Yes",IF(G49=0,0,$B$4/G49),$B$4),0)</f>
        <v/>
      </c>
      <c r="J49" s="15">
        <f>IFERROR(IF($B$4=0,0,MAX(H49*($E$11/$B$4)*I49,H49*$E$12)),0)</f>
        <v/>
      </c>
      <c r="K49" s="15">
        <f>IFERROR(IF(C49&lt;&gt;"Yes",ROUND(MAX($B$15,$B$16)-J49,2),-1),-1)</f>
        <v/>
      </c>
      <c r="L49">
        <f>'Model settings'!E39</f>
        <v/>
      </c>
      <c r="M49">
        <f>RANK(N49,$N$36:$N$50,0)</f>
        <v/>
      </c>
      <c r="N49">
        <f>K49-L49/100000</f>
        <v/>
      </c>
      <c r="O49" s="15">
        <f>IF(K49&lt;0,-1,IF(K49=0,0,ROUND(K49,1-INT(LOG10(ABS(K49))))))</f>
        <v/>
      </c>
    </row>
    <row r="50">
      <c r="A50">
        <f>'Model settings'!A40</f>
        <v/>
      </c>
      <c r="B50">
        <f>'Model settings'!B40</f>
        <v/>
      </c>
      <c r="C50">
        <f>Readiness!B18</f>
        <v/>
      </c>
      <c r="D50">
        <f>'Model settings'!C40</f>
        <v/>
      </c>
      <c r="E50">
        <f>'Model settings'!D40</f>
        <v/>
      </c>
      <c r="F50">
        <f>IF(AND(C50&lt;&gt;"Yes",D50="Frequency"),E50,1)</f>
        <v/>
      </c>
      <c r="G50">
        <f>IF(AND(C50&lt;&gt;"Yes",D50="Magnitude"),E50,1)</f>
        <v/>
      </c>
      <c r="H50">
        <f>IFERROR(IF(C50&lt;&gt;"Yes",IF(F50=0,0,MIN($B$5*$B$3/F50,'Model settings'!$B$7)),$B$6),0)</f>
        <v/>
      </c>
      <c r="I50">
        <f>IFERROR(IF(C50&lt;&gt;"Yes",IF(G50=0,0,$B$4/G50),$B$4),0)</f>
        <v/>
      </c>
      <c r="J50" s="15">
        <f>IFERROR(IF($B$4=0,0,MAX(H50*($E$11/$B$4)*I50,H50*$E$12)),0)</f>
        <v/>
      </c>
      <c r="K50" s="15">
        <f>IFERROR(IF(C50&lt;&gt;"Yes",ROUND(MAX($B$15,$B$16)-J50,2),-1),-1)</f>
        <v/>
      </c>
      <c r="L50">
        <f>'Model settings'!E40</f>
        <v/>
      </c>
      <c r="M50">
        <f>RANK(N50,$N$36:$N$50,0)</f>
        <v/>
      </c>
      <c r="N50">
        <f>K50-L50/100000</f>
        <v/>
      </c>
      <c r="O50" s="15">
        <f>IF(K50&lt;0,-1,IF(K50=0,0,ROUND(K50,1-INT(LOG10(ABS(K50))))))</f>
        <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11"/>
  <sheetViews>
    <sheetView workbookViewId="0">
      <selection activeCell="A1" sqref="A1"/>
    </sheetView>
  </sheetViews>
  <sheetFormatPr baseColWidth="8" defaultRowHeight="15"/>
  <cols>
    <col width="30" customWidth="1" min="1" max="1"/>
    <col width="16" customWidth="1" min="2" max="2"/>
    <col width="16" customWidth="1" min="3" max="3"/>
    <col width="12" customWidth="1" min="4" max="4"/>
    <col width="12" customWidth="1" min="5" max="5"/>
    <col width="16" customWidth="1" min="6" max="6"/>
    <col width="16" customWidth="1" min="7" max="7"/>
    <col width="16" customWidth="1" min="8" max="8"/>
    <col width="12" customWidth="1" min="9" max="9"/>
    <col width="16" customWidth="1" min="10" max="10"/>
    <col width="14" customWidth="1" min="11" max="11"/>
    <col width="14" customWidth="1" min="12" max="12"/>
  </cols>
  <sheetData>
    <row r="1">
      <c r="A1" s="4" t="inlineStr">
        <is>
          <t>Exposure analysis (live formulas; do not type here)</t>
        </is>
      </c>
    </row>
    <row r="2">
      <c r="A2">
        <f>"Status: "&amp;Inputs!$B$26</f>
        <v/>
      </c>
    </row>
    <row r="3">
      <c r="A3" s="11" t="inlineStr">
        <is>
          <t>Asset</t>
        </is>
      </c>
      <c r="B3" s="11" t="inlineStr">
        <is>
          <t>Value (USD)</t>
        </is>
      </c>
      <c r="C3" s="11" t="inlineStr">
        <is>
          <t>Exposure (USD)</t>
        </is>
      </c>
      <c r="D3" s="11" t="inlineStr">
        <is>
          <t>Weight</t>
        </is>
      </c>
      <c r="E3" s="11" t="inlineStr">
        <is>
          <t>Chance</t>
        </is>
      </c>
      <c r="F3" s="11" t="inlineStr">
        <is>
          <t>Annual risk (USD)</t>
        </is>
      </c>
      <c r="G3" s="11" t="inlineStr">
        <is>
          <t>Exposure / value</t>
        </is>
      </c>
      <c r="H3" s="11" t="inlineStr">
        <is>
          <t>Annual risk, share of revenue</t>
        </is>
      </c>
      <c r="I3" s="11" t="inlineStr">
        <is>
          <t>Rating</t>
        </is>
      </c>
      <c r="J3" s="11" t="inlineStr">
        <is>
          <t>Restore time (hours)</t>
        </is>
      </c>
      <c r="K3" s="11" t="inlineStr">
        <is>
          <t>RTO gap (hours)</t>
        </is>
      </c>
      <c r="L3" s="11" t="inlineStr">
        <is>
          <t>RPO gap (hours)</t>
        </is>
      </c>
    </row>
    <row r="4">
      <c r="A4">
        <f>IF(OR(Assets!A4="",Inputs!$B$28&lt;&gt;1),"",Assets!A4)</f>
        <v/>
      </c>
      <c r="B4" s="15">
        <f>IF(A4="","",IF(ISNUMBER(Assets!B4),Assets!B4,0))</f>
        <v/>
      </c>
      <c r="C4" s="15">
        <f>IF(A4="","",IF(ISNUMBER(Assets!D4),Assets!D4,0)*IF(ISNUMBER(Assets!E4),Assets!E4,0)+IF(ISNUMBER(Assets!C4),Assets!C4,0)*Inputs!$B$10)</f>
        <v/>
      </c>
      <c r="D4" s="20">
        <f>IF(A4="","",IFERROR(VLOOKUP(Assets!F4,'Model settings'!$A$45:$B$48,2,FALSE),1)*IF(Assets!G4="Yes",'Model settings'!$B$50,1))</f>
        <v/>
      </c>
      <c r="E4" s="19">
        <f>IF(A4="","",MIN(Results!$B$6*D4,'Model settings'!$B$7))</f>
        <v/>
      </c>
      <c r="F4" s="15">
        <f>IF(A4="","",E4*C4)</f>
        <v/>
      </c>
      <c r="G4" s="20">
        <f>IF(A4="","",IFERROR(C4/B4,""))</f>
        <v/>
      </c>
      <c r="H4" s="21">
        <f>IF(A4="","",IF(Inputs!$B$3&gt;0,F4/Inputs!$B$3,""))</f>
        <v/>
      </c>
      <c r="I4">
        <f>IF(A4="","",IF(Inputs!$B$3&gt;0,IF(H4&gt;='Model settings'!$B$51,"High",IF(H4&gt;='Model settings'!$B$52,"Medium","Low")),"Unrated (needs revenue)"))</f>
        <v/>
      </c>
      <c r="J4" s="14">
        <f>IF(A4="","",IF(ISNUMBER(Assets!E4),Assets!E4,0)*24)</f>
        <v/>
      </c>
      <c r="K4" s="14">
        <f>IF(A4="","",IF(ISNUMBER(Assets!H4),MAX(0,J4-Assets!H4),""))</f>
        <v/>
      </c>
      <c r="L4" s="14">
        <f>IF(A4="","",IF(AND(ISNUMBER(Assets!I4),ISNUMBER(Assets!J4)),MAX(0,Assets!J4-Assets!I4),""))</f>
        <v/>
      </c>
    </row>
    <row r="5">
      <c r="A5">
        <f>IF(OR(Assets!A5="",Inputs!$B$28&lt;&gt;1),"",Assets!A5)</f>
        <v/>
      </c>
      <c r="B5" s="15">
        <f>IF(A5="","",IF(ISNUMBER(Assets!B5),Assets!B5,0))</f>
        <v/>
      </c>
      <c r="C5" s="15">
        <f>IF(A5="","",IF(ISNUMBER(Assets!D5),Assets!D5,0)*IF(ISNUMBER(Assets!E5),Assets!E5,0)+IF(ISNUMBER(Assets!C5),Assets!C5,0)*Inputs!$B$10)</f>
        <v/>
      </c>
      <c r="D5" s="20">
        <f>IF(A5="","",IFERROR(VLOOKUP(Assets!F5,'Model settings'!$A$45:$B$48,2,FALSE),1)*IF(Assets!G5="Yes",'Model settings'!$B$50,1))</f>
        <v/>
      </c>
      <c r="E5" s="19">
        <f>IF(A5="","",MIN(Results!$B$6*D5,'Model settings'!$B$7))</f>
        <v/>
      </c>
      <c r="F5" s="15">
        <f>IF(A5="","",E5*C5)</f>
        <v/>
      </c>
      <c r="G5" s="20">
        <f>IF(A5="","",IFERROR(C5/B5,""))</f>
        <v/>
      </c>
      <c r="H5" s="21">
        <f>IF(A5="","",IF(Inputs!$B$3&gt;0,F5/Inputs!$B$3,""))</f>
        <v/>
      </c>
      <c r="I5">
        <f>IF(A5="","",IF(Inputs!$B$3&gt;0,IF(H5&gt;='Model settings'!$B$51,"High",IF(H5&gt;='Model settings'!$B$52,"Medium","Low")),"Unrated (needs revenue)"))</f>
        <v/>
      </c>
      <c r="J5" s="14">
        <f>IF(A5="","",IF(ISNUMBER(Assets!E5),Assets!E5,0)*24)</f>
        <v/>
      </c>
      <c r="K5" s="14">
        <f>IF(A5="","",IF(ISNUMBER(Assets!H5),MAX(0,J5-Assets!H5),""))</f>
        <v/>
      </c>
      <c r="L5" s="14">
        <f>IF(A5="","",IF(AND(ISNUMBER(Assets!I5),ISNUMBER(Assets!J5)),MAX(0,Assets!J5-Assets!I5),""))</f>
        <v/>
      </c>
    </row>
    <row r="6">
      <c r="A6">
        <f>IF(OR(Assets!A6="",Inputs!$B$28&lt;&gt;1),"",Assets!A6)</f>
        <v/>
      </c>
      <c r="B6" s="15">
        <f>IF(A6="","",IF(ISNUMBER(Assets!B6),Assets!B6,0))</f>
        <v/>
      </c>
      <c r="C6" s="15">
        <f>IF(A6="","",IF(ISNUMBER(Assets!D6),Assets!D6,0)*IF(ISNUMBER(Assets!E6),Assets!E6,0)+IF(ISNUMBER(Assets!C6),Assets!C6,0)*Inputs!$B$10)</f>
        <v/>
      </c>
      <c r="D6" s="20">
        <f>IF(A6="","",IFERROR(VLOOKUP(Assets!F6,'Model settings'!$A$45:$B$48,2,FALSE),1)*IF(Assets!G6="Yes",'Model settings'!$B$50,1))</f>
        <v/>
      </c>
      <c r="E6" s="19">
        <f>IF(A6="","",MIN(Results!$B$6*D6,'Model settings'!$B$7))</f>
        <v/>
      </c>
      <c r="F6" s="15">
        <f>IF(A6="","",E6*C6)</f>
        <v/>
      </c>
      <c r="G6" s="20">
        <f>IF(A6="","",IFERROR(C6/B6,""))</f>
        <v/>
      </c>
      <c r="H6" s="21">
        <f>IF(A6="","",IF(Inputs!$B$3&gt;0,F6/Inputs!$B$3,""))</f>
        <v/>
      </c>
      <c r="I6">
        <f>IF(A6="","",IF(Inputs!$B$3&gt;0,IF(H6&gt;='Model settings'!$B$51,"High",IF(H6&gt;='Model settings'!$B$52,"Medium","Low")),"Unrated (needs revenue)"))</f>
        <v/>
      </c>
      <c r="J6" s="14">
        <f>IF(A6="","",IF(ISNUMBER(Assets!E6),Assets!E6,0)*24)</f>
        <v/>
      </c>
      <c r="K6" s="14">
        <f>IF(A6="","",IF(ISNUMBER(Assets!H6),MAX(0,J6-Assets!H6),""))</f>
        <v/>
      </c>
      <c r="L6" s="14">
        <f>IF(A6="","",IF(AND(ISNUMBER(Assets!I6),ISNUMBER(Assets!J6)),MAX(0,Assets!J6-Assets!I6),""))</f>
        <v/>
      </c>
    </row>
    <row r="7">
      <c r="A7">
        <f>IF(OR(Assets!A7="",Inputs!$B$28&lt;&gt;1),"",Assets!A7)</f>
        <v/>
      </c>
      <c r="B7" s="15">
        <f>IF(A7="","",IF(ISNUMBER(Assets!B7),Assets!B7,0))</f>
        <v/>
      </c>
      <c r="C7" s="15">
        <f>IF(A7="","",IF(ISNUMBER(Assets!D7),Assets!D7,0)*IF(ISNUMBER(Assets!E7),Assets!E7,0)+IF(ISNUMBER(Assets!C7),Assets!C7,0)*Inputs!$B$10)</f>
        <v/>
      </c>
      <c r="D7" s="20">
        <f>IF(A7="","",IFERROR(VLOOKUP(Assets!F7,'Model settings'!$A$45:$B$48,2,FALSE),1)*IF(Assets!G7="Yes",'Model settings'!$B$50,1))</f>
        <v/>
      </c>
      <c r="E7" s="19">
        <f>IF(A7="","",MIN(Results!$B$6*D7,'Model settings'!$B$7))</f>
        <v/>
      </c>
      <c r="F7" s="15">
        <f>IF(A7="","",E7*C7)</f>
        <v/>
      </c>
      <c r="G7" s="20">
        <f>IF(A7="","",IFERROR(C7/B7,""))</f>
        <v/>
      </c>
      <c r="H7" s="21">
        <f>IF(A7="","",IF(Inputs!$B$3&gt;0,F7/Inputs!$B$3,""))</f>
        <v/>
      </c>
      <c r="I7">
        <f>IF(A7="","",IF(Inputs!$B$3&gt;0,IF(H7&gt;='Model settings'!$B$51,"High",IF(H7&gt;='Model settings'!$B$52,"Medium","Low")),"Unrated (needs revenue)"))</f>
        <v/>
      </c>
      <c r="J7" s="14">
        <f>IF(A7="","",IF(ISNUMBER(Assets!E7),Assets!E7,0)*24)</f>
        <v/>
      </c>
      <c r="K7" s="14">
        <f>IF(A7="","",IF(ISNUMBER(Assets!H7),MAX(0,J7-Assets!H7),""))</f>
        <v/>
      </c>
      <c r="L7" s="14">
        <f>IF(A7="","",IF(AND(ISNUMBER(Assets!I7),ISNUMBER(Assets!J7)),MAX(0,Assets!J7-Assets!I7),""))</f>
        <v/>
      </c>
    </row>
    <row r="8">
      <c r="A8">
        <f>IF(OR(Assets!A8="",Inputs!$B$28&lt;&gt;1),"",Assets!A8)</f>
        <v/>
      </c>
      <c r="B8" s="15">
        <f>IF(A8="","",IF(ISNUMBER(Assets!B8),Assets!B8,0))</f>
        <v/>
      </c>
      <c r="C8" s="15">
        <f>IF(A8="","",IF(ISNUMBER(Assets!D8),Assets!D8,0)*IF(ISNUMBER(Assets!E8),Assets!E8,0)+IF(ISNUMBER(Assets!C8),Assets!C8,0)*Inputs!$B$10)</f>
        <v/>
      </c>
      <c r="D8" s="20">
        <f>IF(A8="","",IFERROR(VLOOKUP(Assets!F8,'Model settings'!$A$45:$B$48,2,FALSE),1)*IF(Assets!G8="Yes",'Model settings'!$B$50,1))</f>
        <v/>
      </c>
      <c r="E8" s="19">
        <f>IF(A8="","",MIN(Results!$B$6*D8,'Model settings'!$B$7))</f>
        <v/>
      </c>
      <c r="F8" s="15">
        <f>IF(A8="","",E8*C8)</f>
        <v/>
      </c>
      <c r="G8" s="20">
        <f>IF(A8="","",IFERROR(C8/B8,""))</f>
        <v/>
      </c>
      <c r="H8" s="21">
        <f>IF(A8="","",IF(Inputs!$B$3&gt;0,F8/Inputs!$B$3,""))</f>
        <v/>
      </c>
      <c r="I8">
        <f>IF(A8="","",IF(Inputs!$B$3&gt;0,IF(H8&gt;='Model settings'!$B$51,"High",IF(H8&gt;='Model settings'!$B$52,"Medium","Low")),"Unrated (needs revenue)"))</f>
        <v/>
      </c>
      <c r="J8" s="14">
        <f>IF(A8="","",IF(ISNUMBER(Assets!E8),Assets!E8,0)*24)</f>
        <v/>
      </c>
      <c r="K8" s="14">
        <f>IF(A8="","",IF(ISNUMBER(Assets!H8),MAX(0,J8-Assets!H8),""))</f>
        <v/>
      </c>
      <c r="L8" s="14">
        <f>IF(A8="","",IF(AND(ISNUMBER(Assets!I8),ISNUMBER(Assets!J8)),MAX(0,Assets!J8-Assets!I8),""))</f>
        <v/>
      </c>
    </row>
    <row r="10">
      <c r="A10" t="inlineStr">
        <is>
          <t>Exposure = downtime cost per day x days to restore + records x cost per record. Chance = chance of an incident x data-class weight x internet weight, capped.</t>
        </is>
      </c>
    </row>
    <row r="11">
      <c r="A11" t="inlineStr">
        <is>
          <t>Exposure / value is blank when the value is 0. RTO and RPO gaps are blank when the asset has no target. With a revenue of 0 or blank the ratings read Unrated; the exposure in dollars is still shown.</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1"/>
  <sheetViews>
    <sheetView workbookViewId="0">
      <selection activeCell="A1" sqref="A1"/>
    </sheetView>
  </sheetViews>
  <sheetFormatPr baseColWidth="8" defaultRowHeight="15"/>
  <cols>
    <col width="14" customWidth="1" min="1" max="1"/>
  </cols>
  <sheetData>
    <row r="1">
      <c r="A1" s="4" t="inlineStr">
        <is>
          <t>Charts (native Excel charts; they update when you change the inputs)</t>
        </is>
      </c>
    </row>
  </sheetData>
  <pageMargins left="0.75" right="0.75" top="1" bottom="1" header="0.5" footer="0.5"/>
  <drawing xmlns:r="http://schemas.openxmlformats.org/officeDocument/2006/relationships" r:id="rId1"/>
</worksheet>
</file>

<file path=xl/worksheets/sheet10.xml><?xml version="1.0" encoding="utf-8"?>
<worksheet xmlns="http://schemas.openxmlformats.org/spreadsheetml/2006/main">
  <sheetPr>
    <outlinePr summaryBelow="1" summaryRight="1"/>
    <pageSetUpPr/>
  </sheetPr>
  <dimension ref="A1:L92"/>
  <sheetViews>
    <sheetView workbookViewId="0">
      <selection activeCell="A1" sqref="A1"/>
    </sheetView>
  </sheetViews>
  <sheetFormatPr baseColWidth="8" defaultRowHeight="15"/>
  <cols>
    <col width="8" customWidth="1" min="1" max="1"/>
    <col width="34" customWidth="1" min="2" max="2"/>
    <col width="56" customWidth="1" min="3" max="3"/>
    <col width="18" customWidth="1" min="4" max="4"/>
    <col width="16" customWidth="1" min="5" max="5"/>
    <col width="14" customWidth="1" min="6" max="6"/>
    <col width="14" customWidth="1" min="7" max="7"/>
    <col width="50" customWidth="1" min="8" max="8"/>
    <col width="4" customWidth="1" min="9" max="9"/>
    <col width="24" customWidth="1" min="10" max="10"/>
    <col width="100" customWidth="1" min="11" max="11"/>
    <col width="30" customWidth="1" min="12" max="12"/>
  </cols>
  <sheetData>
    <row r="1">
      <c r="A1" s="4" t="inlineStr">
        <is>
          <t>Recommendations</t>
        </is>
      </c>
    </row>
    <row r="2">
      <c r="A2" t="inlineStr">
        <is>
          <t>Multipliers are our assumptions, not validated or insurer pricing. First the largest modelled differences, then one line per asset rule that applies. Helper columns work the same in Excel, Numbers and Google Sheets.</t>
        </is>
      </c>
    </row>
    <row r="3">
      <c r="A3" s="11" t="inlineStr">
        <is>
          <t>Rank</t>
        </is>
      </c>
      <c r="B3" s="11" t="inlineStr">
        <is>
          <t>Control</t>
        </is>
      </c>
      <c r="C3" s="11" t="inlineStr">
        <is>
          <t>What to do next</t>
        </is>
      </c>
      <c r="D3" s="11" t="inlineStr">
        <is>
          <t>Modelled difference, about (USD per year)</t>
        </is>
      </c>
      <c r="J3" s="4" t="inlineStr">
        <is>
          <t>Rule</t>
        </is>
      </c>
      <c r="K3" s="4" t="inlineStr">
        <is>
          <t>Text ({asset} is replaced by the asset name; editable)</t>
        </is>
      </c>
      <c r="L3" s="4" t="inlineStr">
        <is>
          <t>CyphrQ page</t>
        </is>
      </c>
    </row>
    <row r="4">
      <c r="A4" t="n">
        <v>1</v>
      </c>
      <c r="B4">
        <f>Results!B25</f>
        <v/>
      </c>
      <c r="C4" s="6">
        <f>IF(B4="","",IFERROR(INDEX('Model settings'!$F$26:$F$40,MATCH(B4,'Model settings'!$B$26:$B$40,0)),""))</f>
        <v/>
      </c>
      <c r="D4" s="15">
        <f>Results!C25</f>
        <v/>
      </c>
      <c r="J4" t="inlineStr">
        <is>
          <t>exposure_exceeds_value</t>
        </is>
      </c>
      <c r="K4" s="7" t="inlineStr">
        <is>
          <t>{asset}: losing it would cost more than it is worth. Plan redundancy or a fallback, and make sure your cover limit includes it.</t>
        </is>
      </c>
      <c r="L4" t="inlineStr">
        <is>
          <t>https://cyphrq.com/pillars/tools-respond/</t>
        </is>
      </c>
    </row>
    <row r="5">
      <c r="A5" t="n">
        <v>2</v>
      </c>
      <c r="B5">
        <f>Results!B26</f>
        <v/>
      </c>
      <c r="C5" s="6">
        <f>IF(B5="","",IFERROR(INDEX('Model settings'!$F$26:$F$40,MATCH(B5,'Model settings'!$B$26:$B$40,0)),""))</f>
        <v/>
      </c>
      <c r="D5" s="15">
        <f>Results!C26</f>
        <v/>
      </c>
      <c r="J5" t="inlineStr">
        <is>
          <t>internet_facing_high</t>
        </is>
      </c>
      <c r="K5" s="7" t="inlineStr">
        <is>
          <t>{asset}: internet-facing and rated High. Put it behind MFA or zero trust access and patch it within 14 days.</t>
        </is>
      </c>
      <c r="L5" t="inlineStr">
        <is>
          <t>https://cyphrq.com/pillars/tools-protect/</t>
        </is>
      </c>
    </row>
    <row r="6">
      <c r="A6" t="n">
        <v>3</v>
      </c>
      <c r="B6">
        <f>Results!B27</f>
        <v/>
      </c>
      <c r="C6" s="6">
        <f>IF(B6="","",IFERROR(INDEX('Model settings'!$F$26:$F$40,MATCH(B6,'Model settings'!$B$26:$B$40,0)),""))</f>
        <v/>
      </c>
      <c r="D6" s="15">
        <f>Results!C27</f>
        <v/>
      </c>
      <c r="J6" t="inlineStr">
        <is>
          <t>sensitive_unprotected</t>
        </is>
      </c>
      <c r="K6" s="7" t="inlineStr">
        <is>
          <t>{asset}: sensitive data without encryption or DLP. Encrypt it at rest and in transit, and control what can leave.</t>
        </is>
      </c>
      <c r="L6" t="inlineStr">
        <is>
          <t>https://cyphrq.com/pillars/tools-protect/</t>
        </is>
      </c>
    </row>
    <row r="7">
      <c r="A7" t="n">
        <v>4</v>
      </c>
      <c r="B7">
        <f>Results!B28</f>
        <v/>
      </c>
      <c r="C7" s="6">
        <f>IF(B7="","",IFERROR(INDEX('Model settings'!$F$26:$F$40,MATCH(B7,'Model settings'!$B$26:$B$40,0)),""))</f>
        <v/>
      </c>
      <c r="D7" s="15">
        <f>Results!C28</f>
        <v/>
      </c>
      <c r="J7" t="inlineStr">
        <is>
          <t>slow_untested_restore</t>
        </is>
      </c>
      <c r="K7" s="7" t="inlineStr">
        <is>
          <t>{asset}: restoring takes more than 7 days and has never been tested. Run a restore test and set a recovery-time target.</t>
        </is>
      </c>
      <c r="L7" t="inlineStr">
        <is>
          <t>https://cyphrq.com/pillars/tools-respond/</t>
        </is>
      </c>
    </row>
    <row r="8">
      <c r="A8" t="n">
        <v>5</v>
      </c>
      <c r="B8">
        <f>Results!B29</f>
        <v/>
      </c>
      <c r="C8" s="6">
        <f>IF(B8="","",IFERROR(INDEX('Model settings'!$F$26:$F$40,MATCH(B8,'Model settings'!$B$26:$B$40,0)),""))</f>
        <v/>
      </c>
      <c r="D8" s="15">
        <f>Results!C29</f>
        <v/>
      </c>
      <c r="J8" t="inlineStr">
        <is>
          <t>rto_unmet</t>
        </is>
      </c>
      <c r="K8" s="7" t="inlineStr">
        <is>
          <t>Your likely restore time is longer than your recovery time target (RTO). Either invest to restore faster (tested runbooks, warm standby) or agree a realistic target with the business.</t>
        </is>
      </c>
      <c r="L8" t="inlineStr">
        <is>
          <t>https://cyphrq.com/pillars/tools-respond/</t>
        </is>
      </c>
    </row>
    <row r="9">
      <c r="J9" t="inlineStr">
        <is>
          <t>rpo_unmet</t>
        </is>
      </c>
      <c r="K9" s="7" t="inlineStr">
        <is>
          <t>Backups run less often than your recovery point target (RPO) allows, so an incident would lose more data than you have agreed to. Back up or replicate more often.</t>
        </is>
      </c>
      <c r="L9" t="inlineStr">
        <is>
          <t>https://cyphrq.com/pillars/tools-respond/</t>
        </is>
      </c>
    </row>
    <row r="10">
      <c r="A10" s="4" t="inlineStr">
        <is>
          <t>Recommendations for your assets and your recovery plans</t>
        </is>
      </c>
      <c r="J10" t="inlineStr">
        <is>
          <t>no_bcp</t>
        </is>
      </c>
      <c r="K10" s="7" t="inlineStr">
        <is>
          <t>There is no written business continuity plan. Start with a business impact analysis, then set RTO and RPO for each critical process.</t>
        </is>
      </c>
      <c r="L10" t="inlineStr">
        <is>
          <t>https://cyphrq.com/pillars/iso-standards/</t>
        </is>
      </c>
    </row>
    <row r="11">
      <c r="A11" s="11" t="inlineStr">
        <is>
          <t>No.</t>
        </is>
      </c>
      <c r="B11" s="11" t="inlineStr">
        <is>
          <t>Asset</t>
        </is>
      </c>
      <c r="C11" s="11" t="inlineStr">
        <is>
          <t>Recommendation</t>
        </is>
      </c>
      <c r="D11" s="11" t="inlineStr">
        <is>
          <t>Page</t>
        </is>
      </c>
      <c r="E11" s="11" t="inlineStr"/>
      <c r="F11" s="11" t="inlineStr">
        <is>
          <t>Working row</t>
        </is>
      </c>
      <c r="J11" t="inlineStr">
        <is>
          <t>bcp_test_overdue</t>
        </is>
      </c>
      <c r="K11" s="7" t="inlineStr">
        <is>
          <t>Your continuity plan has not been tested in the last 12 months. Run a test this quarter and record what failed.</t>
        </is>
      </c>
      <c r="L11" t="inlineStr">
        <is>
          <t>https://cyphrq.com/pillars/iso-standards/</t>
        </is>
      </c>
    </row>
    <row r="12">
      <c r="A12" t="n">
        <v>1</v>
      </c>
      <c r="B12">
        <f>IF(INDEX($D$55:$D$92,F12)=1,INDEX($B$55:$B$92,F12),"")</f>
        <v/>
      </c>
      <c r="C12" s="6">
        <f>IF(INDEX($D$55:$D$92,F12)=1,INDEX($E$55:$E$92,F12),"")</f>
        <v/>
      </c>
      <c r="D12">
        <f>IF(INDEX($D$55:$D$92,F12)=1,INDEX($H$55:$H$92,F12),"")</f>
        <v/>
      </c>
      <c r="F12">
        <f>MATCH(A12,$G$55:$G$92,0)</f>
        <v/>
      </c>
      <c r="J12" t="inlineStr">
        <is>
          <t>no_dr_site</t>
        </is>
      </c>
      <c r="K12" s="7" t="inlineStr">
        <is>
          <t>There is no disaster recovery site or standby environment. Decide between cold, warm and hot standby based on your RTO.</t>
        </is>
      </c>
      <c r="L12" t="inlineStr">
        <is>
          <t>https://cyphrq.com/pillars/tools-respond/</t>
        </is>
      </c>
    </row>
    <row r="13">
      <c r="A13" t="n">
        <v>2</v>
      </c>
      <c r="B13">
        <f>IF(INDEX($D$55:$D$92,F13)=1,INDEX($B$55:$B$92,F13),"")</f>
        <v/>
      </c>
      <c r="C13" s="6">
        <f>IF(INDEX($D$55:$D$92,F13)=1,INDEX($E$55:$E$92,F13),"")</f>
        <v/>
      </c>
      <c r="D13">
        <f>IF(INDEX($D$55:$D$92,F13)=1,INDEX($H$55:$H$92,F13),"")</f>
        <v/>
      </c>
      <c r="F13">
        <f>MATCH(A13,$G$55:$G$92,0)</f>
        <v/>
      </c>
      <c r="J13" t="inlineStr">
        <is>
          <t>dr_test_overdue</t>
        </is>
      </c>
      <c r="K13" s="7" t="inlineStr">
        <is>
          <t>Disaster recovery has not been tested in the last 12 months. Run a failover test and time it against your RTO.</t>
        </is>
      </c>
      <c r="L13" t="inlineStr">
        <is>
          <t>https://cyphrq.com/pillars/tools-respond/</t>
        </is>
      </c>
    </row>
    <row r="14">
      <c r="A14" t="n">
        <v>3</v>
      </c>
      <c r="B14">
        <f>IF(INDEX($D$55:$D$92,F14)=1,INDEX($B$55:$B$92,F14),"")</f>
        <v/>
      </c>
      <c r="C14" s="6">
        <f>IF(INDEX($D$55:$D$92,F14)=1,INDEX($E$55:$E$92,F14),"")</f>
        <v/>
      </c>
      <c r="D14">
        <f>IF(INDEX($D$55:$D$92,F14)=1,INDEX($H$55:$H$92,F14),"")</f>
        <v/>
      </c>
      <c r="F14">
        <f>MATCH(A14,$G$55:$G$92,0)</f>
        <v/>
      </c>
      <c r="J14" t="inlineStr">
        <is>
          <t>backups_not_321</t>
        </is>
      </c>
      <c r="K14" s="7" t="inlineStr">
        <is>
          <t>Backups don't follow the 3-2-1 rule (three copies, two different media, one off-site). Add an off-site or immutable copy.</t>
        </is>
      </c>
      <c r="L14" t="inlineStr">
        <is>
          <t>https://cyphrq.com/pillars/tools-respond/</t>
        </is>
      </c>
    </row>
    <row r="15">
      <c r="A15" t="n">
        <v>4</v>
      </c>
      <c r="B15">
        <f>IF(INDEX($D$55:$D$92,F15)=1,INDEX($B$55:$B$92,F15),"")</f>
        <v/>
      </c>
      <c r="C15" s="6">
        <f>IF(INDEX($D$55:$D$92,F15)=1,INDEX($E$55:$E$92,F15),"")</f>
        <v/>
      </c>
      <c r="D15">
        <f>IF(INDEX($D$55:$D$92,F15)=1,INDEX($H$55:$H$92,F15),"")</f>
        <v/>
      </c>
      <c r="F15">
        <f>MATCH(A15,$G$55:$G$92,0)</f>
        <v/>
      </c>
      <c r="J15" t="inlineStr">
        <is>
          <t>tabletop_overdue</t>
        </is>
      </c>
      <c r="K15" s="7" t="inlineStr">
        <is>
          <t>No incident tabletop exercise in the last 12 months. Walk leaders through a ransomware scenario and note the decisions you couldn't make.</t>
        </is>
      </c>
      <c r="L15" t="inlineStr">
        <is>
          <t>https://cyphrq.com/pillars/tools-respond/</t>
        </is>
      </c>
    </row>
    <row r="16">
      <c r="A16" t="n">
        <v>5</v>
      </c>
      <c r="B16">
        <f>IF(INDEX($D$55:$D$92,F16)=1,INDEX($B$55:$B$92,F16),"")</f>
        <v/>
      </c>
      <c r="C16" s="6">
        <f>IF(INDEX($D$55:$D$92,F16)=1,INDEX($E$55:$E$92,F16),"")</f>
        <v/>
      </c>
      <c r="D16">
        <f>IF(INDEX($D$55:$D$92,F16)=1,INDEX($H$55:$H$92,F16),"")</f>
        <v/>
      </c>
      <c r="F16">
        <f>MATCH(A16,$G$55:$G$92,0)</f>
        <v/>
      </c>
      <c r="J16" t="inlineStr">
        <is>
          <t>asset_rto_unmet</t>
        </is>
      </c>
      <c r="K16" s="7" t="inlineStr">
        <is>
          <t>{asset}: restore takes longer than its RTO. Prioritise it in the recovery runbook or add standby capacity.</t>
        </is>
      </c>
      <c r="L16" t="inlineStr">
        <is>
          <t>https://cyphrq.com/pillars/tools-respond/</t>
        </is>
      </c>
    </row>
    <row r="17">
      <c r="A17" t="n">
        <v>6</v>
      </c>
      <c r="B17">
        <f>IF(INDEX($D$55:$D$92,F17)=1,INDEX($B$55:$B$92,F17),"")</f>
        <v/>
      </c>
      <c r="C17" s="6">
        <f>IF(INDEX($D$55:$D$92,F17)=1,INDEX($E$55:$E$92,F17),"")</f>
        <v/>
      </c>
      <c r="D17">
        <f>IF(INDEX($D$55:$D$92,F17)=1,INDEX($H$55:$H$92,F17),"")</f>
        <v/>
      </c>
      <c r="F17">
        <f>MATCH(A17,$G$55:$G$92,0)</f>
        <v/>
      </c>
      <c r="J17" t="inlineStr">
        <is>
          <t>asset_rpo_unmet</t>
        </is>
      </c>
      <c r="K17" s="7" t="inlineStr">
        <is>
          <t>{asset}: backups run less often than its RPO allows. Increase its backup or replication frequency.</t>
        </is>
      </c>
      <c r="L17" t="inlineStr">
        <is>
          <t>https://cyphrq.com/pillars/tools-respond/</t>
        </is>
      </c>
    </row>
    <row r="18">
      <c r="A18" t="n">
        <v>7</v>
      </c>
      <c r="B18">
        <f>IF(INDEX($D$55:$D$92,F18)=1,INDEX($B$55:$B$92,F18),"")</f>
        <v/>
      </c>
      <c r="C18" s="6">
        <f>IF(INDEX($D$55:$D$92,F18)=1,INDEX($E$55:$E$92,F18),"")</f>
        <v/>
      </c>
      <c r="D18">
        <f>IF(INDEX($D$55:$D$92,F18)=1,INDEX($H$55:$H$92,F18),"")</f>
        <v/>
      </c>
      <c r="F18">
        <f>MATCH(A18,$G$55:$G$92,0)</f>
        <v/>
      </c>
    </row>
    <row r="19">
      <c r="A19" t="n">
        <v>8</v>
      </c>
      <c r="B19">
        <f>IF(INDEX($D$55:$D$92,F19)=1,INDEX($B$55:$B$92,F19),"")</f>
        <v/>
      </c>
      <c r="C19" s="6">
        <f>IF(INDEX($D$55:$D$92,F19)=1,INDEX($E$55:$E$92,F19),"")</f>
        <v/>
      </c>
      <c r="D19">
        <f>IF(INDEX($D$55:$D$92,F19)=1,INDEX($H$55:$H$92,F19),"")</f>
        <v/>
      </c>
      <c r="F19">
        <f>MATCH(A19,$G$55:$G$92,0)</f>
        <v/>
      </c>
    </row>
    <row r="20">
      <c r="A20" t="n">
        <v>9</v>
      </c>
      <c r="B20">
        <f>IF(INDEX($D$55:$D$92,F20)=1,INDEX($B$55:$B$92,F20),"")</f>
        <v/>
      </c>
      <c r="C20" s="6">
        <f>IF(INDEX($D$55:$D$92,F20)=1,INDEX($E$55:$E$92,F20),"")</f>
        <v/>
      </c>
      <c r="D20">
        <f>IF(INDEX($D$55:$D$92,F20)=1,INDEX($H$55:$H$92,F20),"")</f>
        <v/>
      </c>
      <c r="F20">
        <f>MATCH(A20,$G$55:$G$92,0)</f>
        <v/>
      </c>
    </row>
    <row r="21">
      <c r="A21" t="n">
        <v>10</v>
      </c>
      <c r="B21">
        <f>IF(INDEX($D$55:$D$92,F21)=1,INDEX($B$55:$B$92,F21),"")</f>
        <v/>
      </c>
      <c r="C21" s="6">
        <f>IF(INDEX($D$55:$D$92,F21)=1,INDEX($E$55:$E$92,F21),"")</f>
        <v/>
      </c>
      <c r="D21">
        <f>IF(INDEX($D$55:$D$92,F21)=1,INDEX($H$55:$H$92,F21),"")</f>
        <v/>
      </c>
      <c r="F21">
        <f>MATCH(A21,$G$55:$G$92,0)</f>
        <v/>
      </c>
    </row>
    <row r="22">
      <c r="A22" t="n">
        <v>11</v>
      </c>
      <c r="B22">
        <f>IF(INDEX($D$55:$D$92,F22)=1,INDEX($B$55:$B$92,F22),"")</f>
        <v/>
      </c>
      <c r="C22" s="6">
        <f>IF(INDEX($D$55:$D$92,F22)=1,INDEX($E$55:$E$92,F22),"")</f>
        <v/>
      </c>
      <c r="D22">
        <f>IF(INDEX($D$55:$D$92,F22)=1,INDEX($H$55:$H$92,F22),"")</f>
        <v/>
      </c>
      <c r="F22">
        <f>MATCH(A22,$G$55:$G$92,0)</f>
        <v/>
      </c>
    </row>
    <row r="23">
      <c r="A23" t="n">
        <v>12</v>
      </c>
      <c r="B23">
        <f>IF(INDEX($D$55:$D$92,F23)=1,INDEX($B$55:$B$92,F23),"")</f>
        <v/>
      </c>
      <c r="C23" s="6">
        <f>IF(INDEX($D$55:$D$92,F23)=1,INDEX($E$55:$E$92,F23),"")</f>
        <v/>
      </c>
      <c r="D23">
        <f>IF(INDEX($D$55:$D$92,F23)=1,INDEX($H$55:$H$92,F23),"")</f>
        <v/>
      </c>
      <c r="F23">
        <f>MATCH(A23,$G$55:$G$92,0)</f>
        <v/>
      </c>
    </row>
    <row r="24">
      <c r="A24" t="n">
        <v>13</v>
      </c>
      <c r="B24">
        <f>IF(INDEX($D$55:$D$92,F24)=1,INDEX($B$55:$B$92,F24),"")</f>
        <v/>
      </c>
      <c r="C24" s="6">
        <f>IF(INDEX($D$55:$D$92,F24)=1,INDEX($E$55:$E$92,F24),"")</f>
        <v/>
      </c>
      <c r="D24">
        <f>IF(INDEX($D$55:$D$92,F24)=1,INDEX($H$55:$H$92,F24),"")</f>
        <v/>
      </c>
      <c r="F24">
        <f>MATCH(A24,$G$55:$G$92,0)</f>
        <v/>
      </c>
    </row>
    <row r="25">
      <c r="A25" t="n">
        <v>14</v>
      </c>
      <c r="B25">
        <f>IF(INDEX($D$55:$D$92,F25)=1,INDEX($B$55:$B$92,F25),"")</f>
        <v/>
      </c>
      <c r="C25" s="6">
        <f>IF(INDEX($D$55:$D$92,F25)=1,INDEX($E$55:$E$92,F25),"")</f>
        <v/>
      </c>
      <c r="D25">
        <f>IF(INDEX($D$55:$D$92,F25)=1,INDEX($H$55:$H$92,F25),"")</f>
        <v/>
      </c>
      <c r="F25">
        <f>MATCH(A25,$G$55:$G$92,0)</f>
        <v/>
      </c>
    </row>
    <row r="26">
      <c r="A26" t="n">
        <v>15</v>
      </c>
      <c r="B26">
        <f>IF(INDEX($D$55:$D$92,F26)=1,INDEX($B$55:$B$92,F26),"")</f>
        <v/>
      </c>
      <c r="C26" s="6">
        <f>IF(INDEX($D$55:$D$92,F26)=1,INDEX($E$55:$E$92,F26),"")</f>
        <v/>
      </c>
      <c r="D26">
        <f>IF(INDEX($D$55:$D$92,F26)=1,INDEX($H$55:$H$92,F26),"")</f>
        <v/>
      </c>
      <c r="F26">
        <f>MATCH(A26,$G$55:$G$92,0)</f>
        <v/>
      </c>
    </row>
    <row r="27">
      <c r="A27" t="n">
        <v>16</v>
      </c>
      <c r="B27">
        <f>IF(INDEX($D$55:$D$92,F27)=1,INDEX($B$55:$B$92,F27),"")</f>
        <v/>
      </c>
      <c r="C27" s="6">
        <f>IF(INDEX($D$55:$D$92,F27)=1,INDEX($E$55:$E$92,F27),"")</f>
        <v/>
      </c>
      <c r="D27">
        <f>IF(INDEX($D$55:$D$92,F27)=1,INDEX($H$55:$H$92,F27),"")</f>
        <v/>
      </c>
      <c r="F27">
        <f>MATCH(A27,$G$55:$G$92,0)</f>
        <v/>
      </c>
    </row>
    <row r="28">
      <c r="A28" t="n">
        <v>17</v>
      </c>
      <c r="B28">
        <f>IF(INDEX($D$55:$D$92,F28)=1,INDEX($B$55:$B$92,F28),"")</f>
        <v/>
      </c>
      <c r="C28" s="6">
        <f>IF(INDEX($D$55:$D$92,F28)=1,INDEX($E$55:$E$92,F28),"")</f>
        <v/>
      </c>
      <c r="D28">
        <f>IF(INDEX($D$55:$D$92,F28)=1,INDEX($H$55:$H$92,F28),"")</f>
        <v/>
      </c>
      <c r="F28">
        <f>MATCH(A28,$G$55:$G$92,0)</f>
        <v/>
      </c>
    </row>
    <row r="29">
      <c r="A29" t="n">
        <v>18</v>
      </c>
      <c r="B29">
        <f>IF(INDEX($D$55:$D$92,F29)=1,INDEX($B$55:$B$92,F29),"")</f>
        <v/>
      </c>
      <c r="C29" s="6">
        <f>IF(INDEX($D$55:$D$92,F29)=1,INDEX($E$55:$E$92,F29),"")</f>
        <v/>
      </c>
      <c r="D29">
        <f>IF(INDEX($D$55:$D$92,F29)=1,INDEX($H$55:$H$92,F29),"")</f>
        <v/>
      </c>
      <c r="F29">
        <f>MATCH(A29,$G$55:$G$92,0)</f>
        <v/>
      </c>
    </row>
    <row r="30">
      <c r="A30" t="n">
        <v>19</v>
      </c>
      <c r="B30">
        <f>IF(INDEX($D$55:$D$92,F30)=1,INDEX($B$55:$B$92,F30),"")</f>
        <v/>
      </c>
      <c r="C30" s="6">
        <f>IF(INDEX($D$55:$D$92,F30)=1,INDEX($E$55:$E$92,F30),"")</f>
        <v/>
      </c>
      <c r="D30">
        <f>IF(INDEX($D$55:$D$92,F30)=1,INDEX($H$55:$H$92,F30),"")</f>
        <v/>
      </c>
      <c r="F30">
        <f>MATCH(A30,$G$55:$G$92,0)</f>
        <v/>
      </c>
    </row>
    <row r="31">
      <c r="A31" t="n">
        <v>20</v>
      </c>
      <c r="B31">
        <f>IF(INDEX($D$55:$D$92,F31)=1,INDEX($B$55:$B$92,F31),"")</f>
        <v/>
      </c>
      <c r="C31" s="6">
        <f>IF(INDEX($D$55:$D$92,F31)=1,INDEX($E$55:$E$92,F31),"")</f>
        <v/>
      </c>
      <c r="D31">
        <f>IF(INDEX($D$55:$D$92,F31)=1,INDEX($H$55:$H$92,F31),"")</f>
        <v/>
      </c>
      <c r="F31">
        <f>MATCH(A31,$G$55:$G$92,0)</f>
        <v/>
      </c>
    </row>
    <row r="32">
      <c r="A32" t="n">
        <v>21</v>
      </c>
      <c r="B32">
        <f>IF(INDEX($D$55:$D$92,F32)=1,INDEX($B$55:$B$92,F32),"")</f>
        <v/>
      </c>
      <c r="C32" s="6">
        <f>IF(INDEX($D$55:$D$92,F32)=1,INDEX($E$55:$E$92,F32),"")</f>
        <v/>
      </c>
      <c r="D32">
        <f>IF(INDEX($D$55:$D$92,F32)=1,INDEX($H$55:$H$92,F32),"")</f>
        <v/>
      </c>
      <c r="F32">
        <f>MATCH(A32,$G$55:$G$92,0)</f>
        <v/>
      </c>
    </row>
    <row r="33">
      <c r="A33" t="n">
        <v>22</v>
      </c>
      <c r="B33">
        <f>IF(INDEX($D$55:$D$92,F33)=1,INDEX($B$55:$B$92,F33),"")</f>
        <v/>
      </c>
      <c r="C33" s="6">
        <f>IF(INDEX($D$55:$D$92,F33)=1,INDEX($E$55:$E$92,F33),"")</f>
        <v/>
      </c>
      <c r="D33">
        <f>IF(INDEX($D$55:$D$92,F33)=1,INDEX($H$55:$H$92,F33),"")</f>
        <v/>
      </c>
      <c r="F33">
        <f>MATCH(A33,$G$55:$G$92,0)</f>
        <v/>
      </c>
    </row>
    <row r="34">
      <c r="A34" t="n">
        <v>23</v>
      </c>
      <c r="B34">
        <f>IF(INDEX($D$55:$D$92,F34)=1,INDEX($B$55:$B$92,F34),"")</f>
        <v/>
      </c>
      <c r="C34" s="6">
        <f>IF(INDEX($D$55:$D$92,F34)=1,INDEX($E$55:$E$92,F34),"")</f>
        <v/>
      </c>
      <c r="D34">
        <f>IF(INDEX($D$55:$D$92,F34)=1,INDEX($H$55:$H$92,F34),"")</f>
        <v/>
      </c>
      <c r="F34">
        <f>MATCH(A34,$G$55:$G$92,0)</f>
        <v/>
      </c>
    </row>
    <row r="35">
      <c r="A35" t="n">
        <v>24</v>
      </c>
      <c r="B35">
        <f>IF(INDEX($D$55:$D$92,F35)=1,INDEX($B$55:$B$92,F35),"")</f>
        <v/>
      </c>
      <c r="C35" s="6">
        <f>IF(INDEX($D$55:$D$92,F35)=1,INDEX($E$55:$E$92,F35),"")</f>
        <v/>
      </c>
      <c r="D35">
        <f>IF(INDEX($D$55:$D$92,F35)=1,INDEX($H$55:$H$92,F35),"")</f>
        <v/>
      </c>
      <c r="F35">
        <f>MATCH(A35,$G$55:$G$92,0)</f>
        <v/>
      </c>
    </row>
    <row r="36">
      <c r="A36" t="n">
        <v>25</v>
      </c>
      <c r="B36">
        <f>IF(INDEX($D$55:$D$92,F36)=1,INDEX($B$55:$B$92,F36),"")</f>
        <v/>
      </c>
      <c r="C36" s="6">
        <f>IF(INDEX($D$55:$D$92,F36)=1,INDEX($E$55:$E$92,F36),"")</f>
        <v/>
      </c>
      <c r="D36">
        <f>IF(INDEX($D$55:$D$92,F36)=1,INDEX($H$55:$H$92,F36),"")</f>
        <v/>
      </c>
      <c r="F36">
        <f>MATCH(A36,$G$55:$G$92,0)</f>
        <v/>
      </c>
    </row>
    <row r="37">
      <c r="A37" t="n">
        <v>26</v>
      </c>
      <c r="B37">
        <f>IF(INDEX($D$55:$D$92,F37)=1,INDEX($B$55:$B$92,F37),"")</f>
        <v/>
      </c>
      <c r="C37" s="6">
        <f>IF(INDEX($D$55:$D$92,F37)=1,INDEX($E$55:$E$92,F37),"")</f>
        <v/>
      </c>
      <c r="D37">
        <f>IF(INDEX($D$55:$D$92,F37)=1,INDEX($H$55:$H$92,F37),"")</f>
        <v/>
      </c>
      <c r="F37">
        <f>MATCH(A37,$G$55:$G$92,0)</f>
        <v/>
      </c>
    </row>
    <row r="38">
      <c r="A38" t="n">
        <v>27</v>
      </c>
      <c r="B38">
        <f>IF(INDEX($D$55:$D$92,F38)=1,INDEX($B$55:$B$92,F38),"")</f>
        <v/>
      </c>
      <c r="C38" s="6">
        <f>IF(INDEX($D$55:$D$92,F38)=1,INDEX($E$55:$E$92,F38),"")</f>
        <v/>
      </c>
      <c r="D38">
        <f>IF(INDEX($D$55:$D$92,F38)=1,INDEX($H$55:$H$92,F38),"")</f>
        <v/>
      </c>
      <c r="F38">
        <f>MATCH(A38,$G$55:$G$92,0)</f>
        <v/>
      </c>
    </row>
    <row r="39">
      <c r="A39" t="n">
        <v>28</v>
      </c>
      <c r="B39">
        <f>IF(INDEX($D$55:$D$92,F39)=1,INDEX($B$55:$B$92,F39),"")</f>
        <v/>
      </c>
      <c r="C39" s="6">
        <f>IF(INDEX($D$55:$D$92,F39)=1,INDEX($E$55:$E$92,F39),"")</f>
        <v/>
      </c>
      <c r="D39">
        <f>IF(INDEX($D$55:$D$92,F39)=1,INDEX($H$55:$H$92,F39),"")</f>
        <v/>
      </c>
      <c r="F39">
        <f>MATCH(A39,$G$55:$G$92,0)</f>
        <v/>
      </c>
    </row>
    <row r="40">
      <c r="A40" t="n">
        <v>29</v>
      </c>
      <c r="B40">
        <f>IF(INDEX($D$55:$D$92,F40)=1,INDEX($B$55:$B$92,F40),"")</f>
        <v/>
      </c>
      <c r="C40" s="6">
        <f>IF(INDEX($D$55:$D$92,F40)=1,INDEX($E$55:$E$92,F40),"")</f>
        <v/>
      </c>
      <c r="D40">
        <f>IF(INDEX($D$55:$D$92,F40)=1,INDEX($H$55:$H$92,F40),"")</f>
        <v/>
      </c>
      <c r="F40">
        <f>MATCH(A40,$G$55:$G$92,0)</f>
        <v/>
      </c>
    </row>
    <row r="41">
      <c r="A41" t="n">
        <v>30</v>
      </c>
      <c r="B41">
        <f>IF(INDEX($D$55:$D$92,F41)=1,INDEX($B$55:$B$92,F41),"")</f>
        <v/>
      </c>
      <c r="C41" s="6">
        <f>IF(INDEX($D$55:$D$92,F41)=1,INDEX($E$55:$E$92,F41),"")</f>
        <v/>
      </c>
      <c r="D41">
        <f>IF(INDEX($D$55:$D$92,F41)=1,INDEX($H$55:$H$92,F41),"")</f>
        <v/>
      </c>
      <c r="F41">
        <f>MATCH(A41,$G$55:$G$92,0)</f>
        <v/>
      </c>
    </row>
    <row r="42">
      <c r="A42" t="n">
        <v>31</v>
      </c>
      <c r="B42">
        <f>IF(INDEX($D$55:$D$92,F42)=1,INDEX($B$55:$B$92,F42),"")</f>
        <v/>
      </c>
      <c r="C42" s="6">
        <f>IF(INDEX($D$55:$D$92,F42)=1,INDEX($E$55:$E$92,F42),"")</f>
        <v/>
      </c>
      <c r="D42">
        <f>IF(INDEX($D$55:$D$92,F42)=1,INDEX($H$55:$H$92,F42),"")</f>
        <v/>
      </c>
      <c r="F42">
        <f>MATCH(A42,$G$55:$G$92,0)</f>
        <v/>
      </c>
    </row>
    <row r="43">
      <c r="A43" t="n">
        <v>32</v>
      </c>
      <c r="B43">
        <f>IF(INDEX($D$55:$D$92,F43)=1,INDEX($B$55:$B$92,F43),"")</f>
        <v/>
      </c>
      <c r="C43" s="6">
        <f>IF(INDEX($D$55:$D$92,F43)=1,INDEX($E$55:$E$92,F43),"")</f>
        <v/>
      </c>
      <c r="D43">
        <f>IF(INDEX($D$55:$D$92,F43)=1,INDEX($H$55:$H$92,F43),"")</f>
        <v/>
      </c>
      <c r="F43">
        <f>MATCH(A43,$G$55:$G$92,0)</f>
        <v/>
      </c>
    </row>
    <row r="44">
      <c r="A44" t="n">
        <v>33</v>
      </c>
      <c r="B44">
        <f>IF(INDEX($D$55:$D$92,F44)=1,INDEX($B$55:$B$92,F44),"")</f>
        <v/>
      </c>
      <c r="C44" s="6">
        <f>IF(INDEX($D$55:$D$92,F44)=1,INDEX($E$55:$E$92,F44),"")</f>
        <v/>
      </c>
      <c r="D44">
        <f>IF(INDEX($D$55:$D$92,F44)=1,INDEX($H$55:$H$92,F44),"")</f>
        <v/>
      </c>
      <c r="F44">
        <f>MATCH(A44,$G$55:$G$92,0)</f>
        <v/>
      </c>
    </row>
    <row r="45">
      <c r="A45" t="n">
        <v>34</v>
      </c>
      <c r="B45">
        <f>IF(INDEX($D$55:$D$92,F45)=1,INDEX($B$55:$B$92,F45),"")</f>
        <v/>
      </c>
      <c r="C45" s="6">
        <f>IF(INDEX($D$55:$D$92,F45)=1,INDEX($E$55:$E$92,F45),"")</f>
        <v/>
      </c>
      <c r="D45">
        <f>IF(INDEX($D$55:$D$92,F45)=1,INDEX($H$55:$H$92,F45),"")</f>
        <v/>
      </c>
      <c r="F45">
        <f>MATCH(A45,$G$55:$G$92,0)</f>
        <v/>
      </c>
    </row>
    <row r="46">
      <c r="A46" t="n">
        <v>35</v>
      </c>
      <c r="B46">
        <f>IF(INDEX($D$55:$D$92,F46)=1,INDEX($B$55:$B$92,F46),"")</f>
        <v/>
      </c>
      <c r="C46" s="6">
        <f>IF(INDEX($D$55:$D$92,F46)=1,INDEX($E$55:$E$92,F46),"")</f>
        <v/>
      </c>
      <c r="D46">
        <f>IF(INDEX($D$55:$D$92,F46)=1,INDEX($H$55:$H$92,F46),"")</f>
        <v/>
      </c>
      <c r="F46">
        <f>MATCH(A46,$G$55:$G$92,0)</f>
        <v/>
      </c>
    </row>
    <row r="47">
      <c r="A47" t="n">
        <v>36</v>
      </c>
      <c r="B47">
        <f>IF(INDEX($D$55:$D$92,F47)=1,INDEX($B$55:$B$92,F47),"")</f>
        <v/>
      </c>
      <c r="C47" s="6">
        <f>IF(INDEX($D$55:$D$92,F47)=1,INDEX($E$55:$E$92,F47),"")</f>
        <v/>
      </c>
      <c r="D47">
        <f>IF(INDEX($D$55:$D$92,F47)=1,INDEX($H$55:$H$92,F47),"")</f>
        <v/>
      </c>
      <c r="F47">
        <f>MATCH(A47,$G$55:$G$92,0)</f>
        <v/>
      </c>
    </row>
    <row r="48">
      <c r="A48" t="n">
        <v>37</v>
      </c>
      <c r="B48">
        <f>IF(INDEX($D$55:$D$92,F48)=1,INDEX($B$55:$B$92,F48),"")</f>
        <v/>
      </c>
      <c r="C48" s="6">
        <f>IF(INDEX($D$55:$D$92,F48)=1,INDEX($E$55:$E$92,F48),"")</f>
        <v/>
      </c>
      <c r="D48">
        <f>IF(INDEX($D$55:$D$92,F48)=1,INDEX($H$55:$H$92,F48),"")</f>
        <v/>
      </c>
      <c r="F48">
        <f>MATCH(A48,$G$55:$G$92,0)</f>
        <v/>
      </c>
    </row>
    <row r="49">
      <c r="A49" t="n">
        <v>38</v>
      </c>
      <c r="B49">
        <f>IF(INDEX($D$55:$D$92,F49)=1,INDEX($B$55:$B$92,F49),"")</f>
        <v/>
      </c>
      <c r="C49" s="6">
        <f>IF(INDEX($D$55:$D$92,F49)=1,INDEX($E$55:$E$92,F49),"")</f>
        <v/>
      </c>
      <c r="D49">
        <f>IF(INDEX($D$55:$D$92,F49)=1,INDEX($H$55:$H$92,F49),"")</f>
        <v/>
      </c>
      <c r="F49">
        <f>MATCH(A49,$G$55:$G$92,0)</f>
        <v/>
      </c>
    </row>
    <row r="53">
      <c r="A53" s="4" t="inlineStr">
        <is>
          <t>Working: one row per rule, in the model's order (asset rules, then overall recovery rules, then asset recovery rules)</t>
        </is>
      </c>
    </row>
    <row r="54">
      <c r="A54" s="11" t="inlineStr">
        <is>
          <t>No.</t>
        </is>
      </c>
      <c r="B54" s="11" t="inlineStr">
        <is>
          <t>Asset</t>
        </is>
      </c>
      <c r="C54" s="11" t="inlineStr">
        <is>
          <t>Rule</t>
        </is>
      </c>
      <c r="D54" s="11" t="inlineStr">
        <is>
          <t>Applies (1/0)</t>
        </is>
      </c>
      <c r="E54" s="11" t="inlineStr">
        <is>
          <t>Text</t>
        </is>
      </c>
      <c r="F54" s="11" t="inlineStr">
        <is>
          <t>Sort key</t>
        </is>
      </c>
      <c r="G54" s="11" t="inlineStr">
        <is>
          <t>Rank</t>
        </is>
      </c>
      <c r="H54" s="11" t="inlineStr">
        <is>
          <t>Page</t>
        </is>
      </c>
    </row>
    <row r="55">
      <c r="A55" t="n">
        <v>1</v>
      </c>
      <c r="B55">
        <f>'Exposure analysis'!A4</f>
        <v/>
      </c>
      <c r="C55" t="inlineStr">
        <is>
          <t>exposure_exceeds_value</t>
        </is>
      </c>
      <c r="D55">
        <f>IF(B55="",0,IF(AND('Exposure analysis'!B4&lt;&gt;0,'Exposure analysis'!C4&gt;'Exposure analysis'!B4),1,0))</f>
        <v/>
      </c>
      <c r="E55">
        <f>IF(D55=1,SUBSTITUTE($K$4,"{asset}",B55),"")</f>
        <v/>
      </c>
      <c r="F55">
        <f>IF(D55=1,A55,1000+A55)</f>
        <v/>
      </c>
      <c r="G55">
        <f>RANK(F55,$F$55:$F$92,1)</f>
        <v/>
      </c>
      <c r="H55">
        <f>$L$4</f>
        <v/>
      </c>
    </row>
    <row r="56">
      <c r="A56" t="n">
        <v>2</v>
      </c>
      <c r="B56">
        <f>'Exposure analysis'!A4</f>
        <v/>
      </c>
      <c r="C56" t="inlineStr">
        <is>
          <t>internet_facing_high</t>
        </is>
      </c>
      <c r="D56">
        <f>IF(B56="",0,IF(AND(Assets!G4="Yes",'Exposure analysis'!I4="High"),1,0))</f>
        <v/>
      </c>
      <c r="E56">
        <f>IF(D56=1,SUBSTITUTE($K$5,"{asset}",B56),"")</f>
        <v/>
      </c>
      <c r="F56">
        <f>IF(D56=1,A56,1000+A56)</f>
        <v/>
      </c>
      <c r="G56">
        <f>RANK(F56,$F$55:$F$92,1)</f>
        <v/>
      </c>
      <c r="H56">
        <f>$L$5</f>
        <v/>
      </c>
    </row>
    <row r="57">
      <c r="A57" t="n">
        <v>3</v>
      </c>
      <c r="B57">
        <f>'Exposure analysis'!A4</f>
        <v/>
      </c>
      <c r="C57" t="inlineStr">
        <is>
          <t>sensitive_unprotected</t>
        </is>
      </c>
      <c r="D57">
        <f>IF(B57="",0,IF(AND(OR(Assets!F4="Confidential",Assets!F4="Restricted"),Readiness!B18&lt;&gt;"Yes"),1,0))</f>
        <v/>
      </c>
      <c r="E57">
        <f>IF(D57=1,SUBSTITUTE($K$6,"{asset}",B57),"")</f>
        <v/>
      </c>
      <c r="F57">
        <f>IF(D57=1,A57,1000+A57)</f>
        <v/>
      </c>
      <c r="G57">
        <f>RANK(F57,$F$55:$F$92,1)</f>
        <v/>
      </c>
      <c r="H57">
        <f>$L$6</f>
        <v/>
      </c>
    </row>
    <row r="58">
      <c r="A58" t="n">
        <v>4</v>
      </c>
      <c r="B58">
        <f>'Exposure analysis'!A4</f>
        <v/>
      </c>
      <c r="C58" t="inlineStr">
        <is>
          <t>slow_untested_restore</t>
        </is>
      </c>
      <c r="D58">
        <f>IF(B58="",0,IF(AND(IF(ISNUMBER(Assets!E4),Assets!E4,0)&gt;'Model settings'!$B$53,Readiness!B15&lt;&gt;"Yes"),1,0))</f>
        <v/>
      </c>
      <c r="E58">
        <f>IF(D58=1,SUBSTITUTE($K$7,"{asset}",B58),"")</f>
        <v/>
      </c>
      <c r="F58">
        <f>IF(D58=1,A58,1000+A58)</f>
        <v/>
      </c>
      <c r="G58">
        <f>RANK(F58,$F$55:$F$92,1)</f>
        <v/>
      </c>
      <c r="H58">
        <f>$L$7</f>
        <v/>
      </c>
    </row>
    <row r="59">
      <c r="A59" t="n">
        <v>5</v>
      </c>
      <c r="B59">
        <f>'Exposure analysis'!A5</f>
        <v/>
      </c>
      <c r="C59" t="inlineStr">
        <is>
          <t>exposure_exceeds_value</t>
        </is>
      </c>
      <c r="D59">
        <f>IF(B59="",0,IF(AND('Exposure analysis'!B5&lt;&gt;0,'Exposure analysis'!C5&gt;'Exposure analysis'!B5),1,0))</f>
        <v/>
      </c>
      <c r="E59">
        <f>IF(D59=1,SUBSTITUTE($K$4,"{asset}",B59),"")</f>
        <v/>
      </c>
      <c r="F59">
        <f>IF(D59=1,A59,1000+A59)</f>
        <v/>
      </c>
      <c r="G59">
        <f>RANK(F59,$F$55:$F$92,1)</f>
        <v/>
      </c>
      <c r="H59">
        <f>$L$4</f>
        <v/>
      </c>
    </row>
    <row r="60">
      <c r="A60" t="n">
        <v>6</v>
      </c>
      <c r="B60">
        <f>'Exposure analysis'!A5</f>
        <v/>
      </c>
      <c r="C60" t="inlineStr">
        <is>
          <t>internet_facing_high</t>
        </is>
      </c>
      <c r="D60">
        <f>IF(B60="",0,IF(AND(Assets!G5="Yes",'Exposure analysis'!I5="High"),1,0))</f>
        <v/>
      </c>
      <c r="E60">
        <f>IF(D60=1,SUBSTITUTE($K$5,"{asset}",B60),"")</f>
        <v/>
      </c>
      <c r="F60">
        <f>IF(D60=1,A60,1000+A60)</f>
        <v/>
      </c>
      <c r="G60">
        <f>RANK(F60,$F$55:$F$92,1)</f>
        <v/>
      </c>
      <c r="H60">
        <f>$L$5</f>
        <v/>
      </c>
    </row>
    <row r="61">
      <c r="A61" t="n">
        <v>7</v>
      </c>
      <c r="B61">
        <f>'Exposure analysis'!A5</f>
        <v/>
      </c>
      <c r="C61" t="inlineStr">
        <is>
          <t>sensitive_unprotected</t>
        </is>
      </c>
      <c r="D61">
        <f>IF(B61="",0,IF(AND(OR(Assets!F5="Confidential",Assets!F5="Restricted"),Readiness!B18&lt;&gt;"Yes"),1,0))</f>
        <v/>
      </c>
      <c r="E61">
        <f>IF(D61=1,SUBSTITUTE($K$6,"{asset}",B61),"")</f>
        <v/>
      </c>
      <c r="F61">
        <f>IF(D61=1,A61,1000+A61)</f>
        <v/>
      </c>
      <c r="G61">
        <f>RANK(F61,$F$55:$F$92,1)</f>
        <v/>
      </c>
      <c r="H61">
        <f>$L$6</f>
        <v/>
      </c>
    </row>
    <row r="62">
      <c r="A62" t="n">
        <v>8</v>
      </c>
      <c r="B62">
        <f>'Exposure analysis'!A5</f>
        <v/>
      </c>
      <c r="C62" t="inlineStr">
        <is>
          <t>slow_untested_restore</t>
        </is>
      </c>
      <c r="D62">
        <f>IF(B62="",0,IF(AND(IF(ISNUMBER(Assets!E5),Assets!E5,0)&gt;'Model settings'!$B$53,Readiness!B15&lt;&gt;"Yes"),1,0))</f>
        <v/>
      </c>
      <c r="E62">
        <f>IF(D62=1,SUBSTITUTE($K$7,"{asset}",B62),"")</f>
        <v/>
      </c>
      <c r="F62">
        <f>IF(D62=1,A62,1000+A62)</f>
        <v/>
      </c>
      <c r="G62">
        <f>RANK(F62,$F$55:$F$92,1)</f>
        <v/>
      </c>
      <c r="H62">
        <f>$L$7</f>
        <v/>
      </c>
    </row>
    <row r="63">
      <c r="A63" t="n">
        <v>9</v>
      </c>
      <c r="B63">
        <f>'Exposure analysis'!A6</f>
        <v/>
      </c>
      <c r="C63" t="inlineStr">
        <is>
          <t>exposure_exceeds_value</t>
        </is>
      </c>
      <c r="D63">
        <f>IF(B63="",0,IF(AND('Exposure analysis'!B6&lt;&gt;0,'Exposure analysis'!C6&gt;'Exposure analysis'!B6),1,0))</f>
        <v/>
      </c>
      <c r="E63">
        <f>IF(D63=1,SUBSTITUTE($K$4,"{asset}",B63),"")</f>
        <v/>
      </c>
      <c r="F63">
        <f>IF(D63=1,A63,1000+A63)</f>
        <v/>
      </c>
      <c r="G63">
        <f>RANK(F63,$F$55:$F$92,1)</f>
        <v/>
      </c>
      <c r="H63">
        <f>$L$4</f>
        <v/>
      </c>
    </row>
    <row r="64">
      <c r="A64" t="n">
        <v>10</v>
      </c>
      <c r="B64">
        <f>'Exposure analysis'!A6</f>
        <v/>
      </c>
      <c r="C64" t="inlineStr">
        <is>
          <t>internet_facing_high</t>
        </is>
      </c>
      <c r="D64">
        <f>IF(B64="",0,IF(AND(Assets!G6="Yes",'Exposure analysis'!I6="High"),1,0))</f>
        <v/>
      </c>
      <c r="E64">
        <f>IF(D64=1,SUBSTITUTE($K$5,"{asset}",B64),"")</f>
        <v/>
      </c>
      <c r="F64">
        <f>IF(D64=1,A64,1000+A64)</f>
        <v/>
      </c>
      <c r="G64">
        <f>RANK(F64,$F$55:$F$92,1)</f>
        <v/>
      </c>
      <c r="H64">
        <f>$L$5</f>
        <v/>
      </c>
    </row>
    <row r="65">
      <c r="A65" t="n">
        <v>11</v>
      </c>
      <c r="B65">
        <f>'Exposure analysis'!A6</f>
        <v/>
      </c>
      <c r="C65" t="inlineStr">
        <is>
          <t>sensitive_unprotected</t>
        </is>
      </c>
      <c r="D65">
        <f>IF(B65="",0,IF(AND(OR(Assets!F6="Confidential",Assets!F6="Restricted"),Readiness!B18&lt;&gt;"Yes"),1,0))</f>
        <v/>
      </c>
      <c r="E65">
        <f>IF(D65=1,SUBSTITUTE($K$6,"{asset}",B65),"")</f>
        <v/>
      </c>
      <c r="F65">
        <f>IF(D65=1,A65,1000+A65)</f>
        <v/>
      </c>
      <c r="G65">
        <f>RANK(F65,$F$55:$F$92,1)</f>
        <v/>
      </c>
      <c r="H65">
        <f>$L$6</f>
        <v/>
      </c>
    </row>
    <row r="66">
      <c r="A66" t="n">
        <v>12</v>
      </c>
      <c r="B66">
        <f>'Exposure analysis'!A6</f>
        <v/>
      </c>
      <c r="C66" t="inlineStr">
        <is>
          <t>slow_untested_restore</t>
        </is>
      </c>
      <c r="D66">
        <f>IF(B66="",0,IF(AND(IF(ISNUMBER(Assets!E6),Assets!E6,0)&gt;'Model settings'!$B$53,Readiness!B15&lt;&gt;"Yes"),1,0))</f>
        <v/>
      </c>
      <c r="E66">
        <f>IF(D66=1,SUBSTITUTE($K$7,"{asset}",B66),"")</f>
        <v/>
      </c>
      <c r="F66">
        <f>IF(D66=1,A66,1000+A66)</f>
        <v/>
      </c>
      <c r="G66">
        <f>RANK(F66,$F$55:$F$92,1)</f>
        <v/>
      </c>
      <c r="H66">
        <f>$L$7</f>
        <v/>
      </c>
    </row>
    <row r="67">
      <c r="A67" t="n">
        <v>13</v>
      </c>
      <c r="B67">
        <f>'Exposure analysis'!A7</f>
        <v/>
      </c>
      <c r="C67" t="inlineStr">
        <is>
          <t>exposure_exceeds_value</t>
        </is>
      </c>
      <c r="D67">
        <f>IF(B67="",0,IF(AND('Exposure analysis'!B7&lt;&gt;0,'Exposure analysis'!C7&gt;'Exposure analysis'!B7),1,0))</f>
        <v/>
      </c>
      <c r="E67">
        <f>IF(D67=1,SUBSTITUTE($K$4,"{asset}",B67),"")</f>
        <v/>
      </c>
      <c r="F67">
        <f>IF(D67=1,A67,1000+A67)</f>
        <v/>
      </c>
      <c r="G67">
        <f>RANK(F67,$F$55:$F$92,1)</f>
        <v/>
      </c>
      <c r="H67">
        <f>$L$4</f>
        <v/>
      </c>
    </row>
    <row r="68">
      <c r="A68" t="n">
        <v>14</v>
      </c>
      <c r="B68">
        <f>'Exposure analysis'!A7</f>
        <v/>
      </c>
      <c r="C68" t="inlineStr">
        <is>
          <t>internet_facing_high</t>
        </is>
      </c>
      <c r="D68">
        <f>IF(B68="",0,IF(AND(Assets!G7="Yes",'Exposure analysis'!I7="High"),1,0))</f>
        <v/>
      </c>
      <c r="E68">
        <f>IF(D68=1,SUBSTITUTE($K$5,"{asset}",B68),"")</f>
        <v/>
      </c>
      <c r="F68">
        <f>IF(D68=1,A68,1000+A68)</f>
        <v/>
      </c>
      <c r="G68">
        <f>RANK(F68,$F$55:$F$92,1)</f>
        <v/>
      </c>
      <c r="H68">
        <f>$L$5</f>
        <v/>
      </c>
    </row>
    <row r="69">
      <c r="A69" t="n">
        <v>15</v>
      </c>
      <c r="B69">
        <f>'Exposure analysis'!A7</f>
        <v/>
      </c>
      <c r="C69" t="inlineStr">
        <is>
          <t>sensitive_unprotected</t>
        </is>
      </c>
      <c r="D69">
        <f>IF(B69="",0,IF(AND(OR(Assets!F7="Confidential",Assets!F7="Restricted"),Readiness!B18&lt;&gt;"Yes"),1,0))</f>
        <v/>
      </c>
      <c r="E69">
        <f>IF(D69=1,SUBSTITUTE($K$6,"{asset}",B69),"")</f>
        <v/>
      </c>
      <c r="F69">
        <f>IF(D69=1,A69,1000+A69)</f>
        <v/>
      </c>
      <c r="G69">
        <f>RANK(F69,$F$55:$F$92,1)</f>
        <v/>
      </c>
      <c r="H69">
        <f>$L$6</f>
        <v/>
      </c>
    </row>
    <row r="70">
      <c r="A70" t="n">
        <v>16</v>
      </c>
      <c r="B70">
        <f>'Exposure analysis'!A7</f>
        <v/>
      </c>
      <c r="C70" t="inlineStr">
        <is>
          <t>slow_untested_restore</t>
        </is>
      </c>
      <c r="D70">
        <f>IF(B70="",0,IF(AND(IF(ISNUMBER(Assets!E7),Assets!E7,0)&gt;'Model settings'!$B$53,Readiness!B15&lt;&gt;"Yes"),1,0))</f>
        <v/>
      </c>
      <c r="E70">
        <f>IF(D70=1,SUBSTITUTE($K$7,"{asset}",B70),"")</f>
        <v/>
      </c>
      <c r="F70">
        <f>IF(D70=1,A70,1000+A70)</f>
        <v/>
      </c>
      <c r="G70">
        <f>RANK(F70,$F$55:$F$92,1)</f>
        <v/>
      </c>
      <c r="H70">
        <f>$L$7</f>
        <v/>
      </c>
    </row>
    <row r="71">
      <c r="A71" t="n">
        <v>17</v>
      </c>
      <c r="B71">
        <f>'Exposure analysis'!A8</f>
        <v/>
      </c>
      <c r="C71" t="inlineStr">
        <is>
          <t>exposure_exceeds_value</t>
        </is>
      </c>
      <c r="D71">
        <f>IF(B71="",0,IF(AND('Exposure analysis'!B8&lt;&gt;0,'Exposure analysis'!C8&gt;'Exposure analysis'!B8),1,0))</f>
        <v/>
      </c>
      <c r="E71">
        <f>IF(D71=1,SUBSTITUTE($K$4,"{asset}",B71),"")</f>
        <v/>
      </c>
      <c r="F71">
        <f>IF(D71=1,A71,1000+A71)</f>
        <v/>
      </c>
      <c r="G71">
        <f>RANK(F71,$F$55:$F$92,1)</f>
        <v/>
      </c>
      <c r="H71">
        <f>$L$4</f>
        <v/>
      </c>
    </row>
    <row r="72">
      <c r="A72" t="n">
        <v>18</v>
      </c>
      <c r="B72">
        <f>'Exposure analysis'!A8</f>
        <v/>
      </c>
      <c r="C72" t="inlineStr">
        <is>
          <t>internet_facing_high</t>
        </is>
      </c>
      <c r="D72">
        <f>IF(B72="",0,IF(AND(Assets!G8="Yes",'Exposure analysis'!I8="High"),1,0))</f>
        <v/>
      </c>
      <c r="E72">
        <f>IF(D72=1,SUBSTITUTE($K$5,"{asset}",B72),"")</f>
        <v/>
      </c>
      <c r="F72">
        <f>IF(D72=1,A72,1000+A72)</f>
        <v/>
      </c>
      <c r="G72">
        <f>RANK(F72,$F$55:$F$92,1)</f>
        <v/>
      </c>
      <c r="H72">
        <f>$L$5</f>
        <v/>
      </c>
    </row>
    <row r="73">
      <c r="A73" t="n">
        <v>19</v>
      </c>
      <c r="B73">
        <f>'Exposure analysis'!A8</f>
        <v/>
      </c>
      <c r="C73" t="inlineStr">
        <is>
          <t>sensitive_unprotected</t>
        </is>
      </c>
      <c r="D73">
        <f>IF(B73="",0,IF(AND(OR(Assets!F8="Confidential",Assets!F8="Restricted"),Readiness!B18&lt;&gt;"Yes"),1,0))</f>
        <v/>
      </c>
      <c r="E73">
        <f>IF(D73=1,SUBSTITUTE($K$6,"{asset}",B73),"")</f>
        <v/>
      </c>
      <c r="F73">
        <f>IF(D73=1,A73,1000+A73)</f>
        <v/>
      </c>
      <c r="G73">
        <f>RANK(F73,$F$55:$F$92,1)</f>
        <v/>
      </c>
      <c r="H73">
        <f>$L$6</f>
        <v/>
      </c>
    </row>
    <row r="74">
      <c r="A74" t="n">
        <v>20</v>
      </c>
      <c r="B74">
        <f>'Exposure analysis'!A8</f>
        <v/>
      </c>
      <c r="C74" t="inlineStr">
        <is>
          <t>slow_untested_restore</t>
        </is>
      </c>
      <c r="D74">
        <f>IF(B74="",0,IF(AND(IF(ISNUMBER(Assets!E8),Assets!E8,0)&gt;'Model settings'!$B$53,Readiness!B15&lt;&gt;"Yes"),1,0))</f>
        <v/>
      </c>
      <c r="E74">
        <f>IF(D74=1,SUBSTITUTE($K$7,"{asset}",B74),"")</f>
        <v/>
      </c>
      <c r="F74">
        <f>IF(D74=1,A74,1000+A74)</f>
        <v/>
      </c>
      <c r="G74">
        <f>RANK(F74,$F$55:$F$92,1)</f>
        <v/>
      </c>
      <c r="H74">
        <f>$L$7</f>
        <v/>
      </c>
    </row>
    <row r="75">
      <c r="A75" t="n">
        <v>21</v>
      </c>
      <c r="B75">
        <f>""</f>
        <v/>
      </c>
      <c r="C75" t="inlineStr">
        <is>
          <t>rto_unmet</t>
        </is>
      </c>
      <c r="D75">
        <f>IF(ISNUMBER(Resilience!$B$17),IF(Resilience!$B$17&gt;0,1,0),0)</f>
        <v/>
      </c>
      <c r="E75">
        <f>IF(D75=1,SUBSTITUTE($K$8,"{asset}",B75),"")</f>
        <v/>
      </c>
      <c r="F75">
        <f>IF(D75=1,A75,1000+A75)</f>
        <v/>
      </c>
      <c r="G75">
        <f>RANK(F75,$F$55:$F$92,1)</f>
        <v/>
      </c>
      <c r="H75">
        <f>$L$8</f>
        <v/>
      </c>
    </row>
    <row r="76">
      <c r="A76" t="n">
        <v>22</v>
      </c>
      <c r="B76">
        <f>""</f>
        <v/>
      </c>
      <c r="C76" t="inlineStr">
        <is>
          <t>rpo_unmet</t>
        </is>
      </c>
      <c r="D76">
        <f>IF(ISNUMBER(Resilience!$B$18),IF(Resilience!$B$18&gt;0,1,0),0)</f>
        <v/>
      </c>
      <c r="E76">
        <f>IF(D76=1,SUBSTITUTE($K$9,"{asset}",B76),"")</f>
        <v/>
      </c>
      <c r="F76">
        <f>IF(D76=1,A76,1000+A76)</f>
        <v/>
      </c>
      <c r="G76">
        <f>RANK(F76,$F$55:$F$92,1)</f>
        <v/>
      </c>
      <c r="H76">
        <f>$L$9</f>
        <v/>
      </c>
    </row>
    <row r="77">
      <c r="A77" t="n">
        <v>23</v>
      </c>
      <c r="B77">
        <f>""</f>
        <v/>
      </c>
      <c r="C77" t="inlineStr">
        <is>
          <t>no_bcp</t>
        </is>
      </c>
      <c r="D77">
        <f>IF(AND(Resilience!$B$15=1,Resilience!$B$26=0),1,0)</f>
        <v/>
      </c>
      <c r="E77">
        <f>IF(D77=1,SUBSTITUTE($K$10,"{asset}",B77),"")</f>
        <v/>
      </c>
      <c r="F77">
        <f>IF(D77=1,A77,1000+A77)</f>
        <v/>
      </c>
      <c r="G77">
        <f>RANK(F77,$F$55:$F$92,1)</f>
        <v/>
      </c>
      <c r="H77">
        <f>$L$10</f>
        <v/>
      </c>
    </row>
    <row r="78">
      <c r="A78" t="n">
        <v>24</v>
      </c>
      <c r="B78">
        <f>""</f>
        <v/>
      </c>
      <c r="C78" t="inlineStr">
        <is>
          <t>bcp_test_overdue</t>
        </is>
      </c>
      <c r="D78">
        <f>IF(AND(Resilience!$B$15=1,Resilience!$B$26=1,Resilience!$B$27=0),1,0)</f>
        <v/>
      </c>
      <c r="E78">
        <f>IF(D78=1,SUBSTITUTE($K$11,"{asset}",B78),"")</f>
        <v/>
      </c>
      <c r="F78">
        <f>IF(D78=1,A78,1000+A78)</f>
        <v/>
      </c>
      <c r="G78">
        <f>RANK(F78,$F$55:$F$92,1)</f>
        <v/>
      </c>
      <c r="H78">
        <f>$L$11</f>
        <v/>
      </c>
    </row>
    <row r="79">
      <c r="A79" t="n">
        <v>25</v>
      </c>
      <c r="B79">
        <f>""</f>
        <v/>
      </c>
      <c r="C79" t="inlineStr">
        <is>
          <t>no_dr_site</t>
        </is>
      </c>
      <c r="D79">
        <f>IF(AND(Resilience!$B$15=1,Resilience!$B$31=0),1,0)</f>
        <v/>
      </c>
      <c r="E79">
        <f>IF(D79=1,SUBSTITUTE($K$12,"{asset}",B79),"")</f>
        <v/>
      </c>
      <c r="F79">
        <f>IF(D79=1,A79,1000+A79)</f>
        <v/>
      </c>
      <c r="G79">
        <f>RANK(F79,$F$55:$F$92,1)</f>
        <v/>
      </c>
      <c r="H79">
        <f>$L$12</f>
        <v/>
      </c>
    </row>
    <row r="80">
      <c r="A80" t="n">
        <v>26</v>
      </c>
      <c r="B80">
        <f>""</f>
        <v/>
      </c>
      <c r="C80" t="inlineStr">
        <is>
          <t>dr_test_overdue</t>
        </is>
      </c>
      <c r="D80">
        <f>IF(AND(Resilience!$B$15=1,Resilience!$B$31=1,Resilience!$B$28=0),1,0)</f>
        <v/>
      </c>
      <c r="E80">
        <f>IF(D80=1,SUBSTITUTE($K$13,"{asset}",B80),"")</f>
        <v/>
      </c>
      <c r="F80">
        <f>IF(D80=1,A80,1000+A80)</f>
        <v/>
      </c>
      <c r="G80">
        <f>RANK(F80,$F$55:$F$92,1)</f>
        <v/>
      </c>
      <c r="H80">
        <f>$L$13</f>
        <v/>
      </c>
    </row>
    <row r="81">
      <c r="A81" t="n">
        <v>27</v>
      </c>
      <c r="B81">
        <f>""</f>
        <v/>
      </c>
      <c r="C81" t="inlineStr">
        <is>
          <t>backups_not_321</t>
        </is>
      </c>
      <c r="D81">
        <f>IF(AND(Resilience!$B$15=1,Resilience!$B$29=0),1,0)</f>
        <v/>
      </c>
      <c r="E81">
        <f>IF(D81=1,SUBSTITUTE($K$14,"{asset}",B81),"")</f>
        <v/>
      </c>
      <c r="F81">
        <f>IF(D81=1,A81,1000+A81)</f>
        <v/>
      </c>
      <c r="G81">
        <f>RANK(F81,$F$55:$F$92,1)</f>
        <v/>
      </c>
      <c r="H81">
        <f>$L$14</f>
        <v/>
      </c>
    </row>
    <row r="82">
      <c r="A82" t="n">
        <v>28</v>
      </c>
      <c r="B82">
        <f>""</f>
        <v/>
      </c>
      <c r="C82" t="inlineStr">
        <is>
          <t>tabletop_overdue</t>
        </is>
      </c>
      <c r="D82">
        <f>IF(AND(Resilience!$B$15=1,Resilience!$B$30=0),1,0)</f>
        <v/>
      </c>
      <c r="E82">
        <f>IF(D82=1,SUBSTITUTE($K$15,"{asset}",B82),"")</f>
        <v/>
      </c>
      <c r="F82">
        <f>IF(D82=1,A82,1000+A82)</f>
        <v/>
      </c>
      <c r="G82">
        <f>RANK(F82,$F$55:$F$92,1)</f>
        <v/>
      </c>
      <c r="H82">
        <f>$L$15</f>
        <v/>
      </c>
    </row>
    <row r="83">
      <c r="A83" t="n">
        <v>29</v>
      </c>
      <c r="B83">
        <f>'Exposure analysis'!A4</f>
        <v/>
      </c>
      <c r="C83" t="inlineStr">
        <is>
          <t>asset_rto_unmet</t>
        </is>
      </c>
      <c r="D83">
        <f>IF(B83="",0,IF(AND(Resilience!$B$15=1,ISNUMBER('Exposure analysis'!K4)),IF('Exposure analysis'!K4&gt;0,1,0),0))</f>
        <v/>
      </c>
      <c r="E83">
        <f>IF(D83=1,SUBSTITUTE($K$16,"{asset}",B83),"")</f>
        <v/>
      </c>
      <c r="F83">
        <f>IF(D83=1,A83,1000+A83)</f>
        <v/>
      </c>
      <c r="G83">
        <f>RANK(F83,$F$55:$F$92,1)</f>
        <v/>
      </c>
      <c r="H83">
        <f>$L$16</f>
        <v/>
      </c>
    </row>
    <row r="84">
      <c r="A84" t="n">
        <v>30</v>
      </c>
      <c r="B84">
        <f>'Exposure analysis'!A4</f>
        <v/>
      </c>
      <c r="C84" t="inlineStr">
        <is>
          <t>asset_rpo_unmet</t>
        </is>
      </c>
      <c r="D84">
        <f>IF(B84="",0,IF(AND(Resilience!$B$15=1,ISNUMBER('Exposure analysis'!L4)),IF('Exposure analysis'!L4&gt;0,1,0),0))</f>
        <v/>
      </c>
      <c r="E84">
        <f>IF(D84=1,SUBSTITUTE($K$17,"{asset}",B84),"")</f>
        <v/>
      </c>
      <c r="F84">
        <f>IF(D84=1,A84,1000+A84)</f>
        <v/>
      </c>
      <c r="G84">
        <f>RANK(F84,$F$55:$F$92,1)</f>
        <v/>
      </c>
      <c r="H84">
        <f>$L$17</f>
        <v/>
      </c>
    </row>
    <row r="85">
      <c r="A85" t="n">
        <v>31</v>
      </c>
      <c r="B85">
        <f>'Exposure analysis'!A5</f>
        <v/>
      </c>
      <c r="C85" t="inlineStr">
        <is>
          <t>asset_rto_unmet</t>
        </is>
      </c>
      <c r="D85">
        <f>IF(B85="",0,IF(AND(Resilience!$B$15=1,ISNUMBER('Exposure analysis'!K5)),IF('Exposure analysis'!K5&gt;0,1,0),0))</f>
        <v/>
      </c>
      <c r="E85">
        <f>IF(D85=1,SUBSTITUTE($K$16,"{asset}",B85),"")</f>
        <v/>
      </c>
      <c r="F85">
        <f>IF(D85=1,A85,1000+A85)</f>
        <v/>
      </c>
      <c r="G85">
        <f>RANK(F85,$F$55:$F$92,1)</f>
        <v/>
      </c>
      <c r="H85">
        <f>$L$16</f>
        <v/>
      </c>
    </row>
    <row r="86">
      <c r="A86" t="n">
        <v>32</v>
      </c>
      <c r="B86">
        <f>'Exposure analysis'!A5</f>
        <v/>
      </c>
      <c r="C86" t="inlineStr">
        <is>
          <t>asset_rpo_unmet</t>
        </is>
      </c>
      <c r="D86">
        <f>IF(B86="",0,IF(AND(Resilience!$B$15=1,ISNUMBER('Exposure analysis'!L5)),IF('Exposure analysis'!L5&gt;0,1,0),0))</f>
        <v/>
      </c>
      <c r="E86">
        <f>IF(D86=1,SUBSTITUTE($K$17,"{asset}",B86),"")</f>
        <v/>
      </c>
      <c r="F86">
        <f>IF(D86=1,A86,1000+A86)</f>
        <v/>
      </c>
      <c r="G86">
        <f>RANK(F86,$F$55:$F$92,1)</f>
        <v/>
      </c>
      <c r="H86">
        <f>$L$17</f>
        <v/>
      </c>
    </row>
    <row r="87">
      <c r="A87" t="n">
        <v>33</v>
      </c>
      <c r="B87">
        <f>'Exposure analysis'!A6</f>
        <v/>
      </c>
      <c r="C87" t="inlineStr">
        <is>
          <t>asset_rto_unmet</t>
        </is>
      </c>
      <c r="D87">
        <f>IF(B87="",0,IF(AND(Resilience!$B$15=1,ISNUMBER('Exposure analysis'!K6)),IF('Exposure analysis'!K6&gt;0,1,0),0))</f>
        <v/>
      </c>
      <c r="E87">
        <f>IF(D87=1,SUBSTITUTE($K$16,"{asset}",B87),"")</f>
        <v/>
      </c>
      <c r="F87">
        <f>IF(D87=1,A87,1000+A87)</f>
        <v/>
      </c>
      <c r="G87">
        <f>RANK(F87,$F$55:$F$92,1)</f>
        <v/>
      </c>
      <c r="H87">
        <f>$L$16</f>
        <v/>
      </c>
    </row>
    <row r="88">
      <c r="A88" t="n">
        <v>34</v>
      </c>
      <c r="B88">
        <f>'Exposure analysis'!A6</f>
        <v/>
      </c>
      <c r="C88" t="inlineStr">
        <is>
          <t>asset_rpo_unmet</t>
        </is>
      </c>
      <c r="D88">
        <f>IF(B88="",0,IF(AND(Resilience!$B$15=1,ISNUMBER('Exposure analysis'!L6)),IF('Exposure analysis'!L6&gt;0,1,0),0))</f>
        <v/>
      </c>
      <c r="E88">
        <f>IF(D88=1,SUBSTITUTE($K$17,"{asset}",B88),"")</f>
        <v/>
      </c>
      <c r="F88">
        <f>IF(D88=1,A88,1000+A88)</f>
        <v/>
      </c>
      <c r="G88">
        <f>RANK(F88,$F$55:$F$92,1)</f>
        <v/>
      </c>
      <c r="H88">
        <f>$L$17</f>
        <v/>
      </c>
    </row>
    <row r="89">
      <c r="A89" t="n">
        <v>35</v>
      </c>
      <c r="B89">
        <f>'Exposure analysis'!A7</f>
        <v/>
      </c>
      <c r="C89" t="inlineStr">
        <is>
          <t>asset_rto_unmet</t>
        </is>
      </c>
      <c r="D89">
        <f>IF(B89="",0,IF(AND(Resilience!$B$15=1,ISNUMBER('Exposure analysis'!K7)),IF('Exposure analysis'!K7&gt;0,1,0),0))</f>
        <v/>
      </c>
      <c r="E89">
        <f>IF(D89=1,SUBSTITUTE($K$16,"{asset}",B89),"")</f>
        <v/>
      </c>
      <c r="F89">
        <f>IF(D89=1,A89,1000+A89)</f>
        <v/>
      </c>
      <c r="G89">
        <f>RANK(F89,$F$55:$F$92,1)</f>
        <v/>
      </c>
      <c r="H89">
        <f>$L$16</f>
        <v/>
      </c>
    </row>
    <row r="90">
      <c r="A90" t="n">
        <v>36</v>
      </c>
      <c r="B90">
        <f>'Exposure analysis'!A7</f>
        <v/>
      </c>
      <c r="C90" t="inlineStr">
        <is>
          <t>asset_rpo_unmet</t>
        </is>
      </c>
      <c r="D90">
        <f>IF(B90="",0,IF(AND(Resilience!$B$15=1,ISNUMBER('Exposure analysis'!L7)),IF('Exposure analysis'!L7&gt;0,1,0),0))</f>
        <v/>
      </c>
      <c r="E90">
        <f>IF(D90=1,SUBSTITUTE($K$17,"{asset}",B90),"")</f>
        <v/>
      </c>
      <c r="F90">
        <f>IF(D90=1,A90,1000+A90)</f>
        <v/>
      </c>
      <c r="G90">
        <f>RANK(F90,$F$55:$F$92,1)</f>
        <v/>
      </c>
      <c r="H90">
        <f>$L$17</f>
        <v/>
      </c>
    </row>
    <row r="91">
      <c r="A91" t="n">
        <v>37</v>
      </c>
      <c r="B91">
        <f>'Exposure analysis'!A8</f>
        <v/>
      </c>
      <c r="C91" t="inlineStr">
        <is>
          <t>asset_rto_unmet</t>
        </is>
      </c>
      <c r="D91">
        <f>IF(B91="",0,IF(AND(Resilience!$B$15=1,ISNUMBER('Exposure analysis'!K8)),IF('Exposure analysis'!K8&gt;0,1,0),0))</f>
        <v/>
      </c>
      <c r="E91">
        <f>IF(D91=1,SUBSTITUTE($K$16,"{asset}",B91),"")</f>
        <v/>
      </c>
      <c r="F91">
        <f>IF(D91=1,A91,1000+A91)</f>
        <v/>
      </c>
      <c r="G91">
        <f>RANK(F91,$F$55:$F$92,1)</f>
        <v/>
      </c>
      <c r="H91">
        <f>$L$16</f>
        <v/>
      </c>
    </row>
    <row r="92">
      <c r="A92" t="n">
        <v>38</v>
      </c>
      <c r="B92">
        <f>'Exposure analysis'!A8</f>
        <v/>
      </c>
      <c r="C92" t="inlineStr">
        <is>
          <t>asset_rpo_unmet</t>
        </is>
      </c>
      <c r="D92">
        <f>IF(B92="",0,IF(AND(Resilience!$B$15=1,ISNUMBER('Exposure analysis'!L8)),IF('Exposure analysis'!L8&gt;0,1,0),0))</f>
        <v/>
      </c>
      <c r="E92">
        <f>IF(D92=1,SUBSTITUTE($K$17,"{asset}",B92),"")</f>
        <v/>
      </c>
      <c r="F92">
        <f>IF(D92=1,A92,1000+A92)</f>
        <v/>
      </c>
      <c r="G92">
        <f>RANK(F92,$F$55:$F$92,1)</f>
        <v/>
      </c>
      <c r="H92">
        <f>$L$17</f>
        <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14" customWidth="1" min="1" max="1"/>
    <col width="46" customWidth="1" min="2" max="2"/>
    <col width="60" customWidth="1" min="3" max="3"/>
    <col width="46" customWidth="1" min="4" max="4"/>
    <col width="10" customWidth="1" min="5" max="5"/>
  </cols>
  <sheetData>
    <row r="1">
      <c r="A1" s="4" t="inlineStr">
        <is>
          <t>Detection and prevention checklist. Partial check mapped to five NIST CSF 2.0 functions (Govern is not covered)</t>
        </is>
      </c>
    </row>
    <row r="3">
      <c r="A3" s="11" t="inlineStr">
        <is>
          <t>Function</t>
        </is>
      </c>
      <c r="B3" s="11" t="inlineStr">
        <is>
          <t>Control category</t>
        </is>
      </c>
      <c r="C3" s="11" t="inlineStr">
        <is>
          <t>What to check</t>
        </is>
      </c>
      <c r="D3" s="11" t="inlineStr">
        <is>
          <t>CyphrQ tool page</t>
        </is>
      </c>
      <c r="E3" s="11" t="inlineStr">
        <is>
          <t>Done?</t>
        </is>
      </c>
    </row>
    <row r="4">
      <c r="A4" s="6" t="inlineStr">
        <is>
          <t>Identify</t>
        </is>
      </c>
      <c r="B4" s="6" t="inlineStr">
        <is>
          <t>Vulnerability management</t>
        </is>
      </c>
      <c r="C4" s="6" t="inlineStr">
        <is>
          <t>Every internet-facing system is scanned and critical findings are fixed within 14 days.</t>
        </is>
      </c>
      <c r="D4" t="inlineStr">
        <is>
          <t>https://cyphrq.com/pillars/tools-identify/</t>
        </is>
      </c>
      <c r="E4" s="7" t="n"/>
    </row>
    <row r="5">
      <c r="A5" s="6" t="inlineStr">
        <is>
          <t>Identify</t>
        </is>
      </c>
      <c r="B5" s="6" t="inlineStr">
        <is>
          <t>Penetration testing</t>
        </is>
      </c>
      <c r="C5" s="6" t="inlineStr">
        <is>
          <t>An external test was done in the last 12 months and the findings were closed.</t>
        </is>
      </c>
      <c r="D5" t="inlineStr">
        <is>
          <t>https://cyphrq.com/pillars/tools-identify/</t>
        </is>
      </c>
      <c r="E5" s="7" t="n"/>
    </row>
    <row r="6">
      <c r="A6" s="6" t="inlineStr">
        <is>
          <t>Identify</t>
        </is>
      </c>
      <c r="B6" s="6" t="inlineStr">
        <is>
          <t>Threat intelligence</t>
        </is>
      </c>
      <c r="C6" s="6" t="inlineStr">
        <is>
          <t>You follow alerts for your sector and the known-exploited vulnerability list.</t>
        </is>
      </c>
      <c r="D6" t="inlineStr">
        <is>
          <t>https://cyphrq.com/pillars/tools-identify/</t>
        </is>
      </c>
      <c r="E6" s="7" t="n"/>
    </row>
    <row r="7">
      <c r="A7" s="6" t="inlineStr">
        <is>
          <t>Identify</t>
        </is>
      </c>
      <c r="B7" s="6" t="inlineStr">
        <is>
          <t>Cloud posture (CSPM/CNAPP)</t>
        </is>
      </c>
      <c r="C7" s="6" t="inlineStr">
        <is>
          <t>Cloud accounts are checked for open storage and risky permissions.</t>
        </is>
      </c>
      <c r="D7" t="inlineStr">
        <is>
          <t>https://cyphrq.com/pillars/tools-identify/</t>
        </is>
      </c>
      <c r="E7" s="7" t="n"/>
    </row>
    <row r="8">
      <c r="A8" s="6" t="inlineStr">
        <is>
          <t>Protect</t>
        </is>
      </c>
      <c r="B8" s="6" t="inlineStr">
        <is>
          <t>Identity and MFA</t>
        </is>
      </c>
      <c r="C8" s="6" t="inlineStr">
        <is>
          <t>MFA covers remote access, privileged accounts and email.</t>
        </is>
      </c>
      <c r="D8" t="inlineStr">
        <is>
          <t>https://cyphrq.com/pillars/tools-protect/</t>
        </is>
      </c>
      <c r="E8" s="7" t="n"/>
    </row>
    <row r="9">
      <c r="A9" s="6" t="inlineStr">
        <is>
          <t>Protect</t>
        </is>
      </c>
      <c r="B9" s="6" t="inlineStr">
        <is>
          <t>Privileged access (PAM)</t>
        </is>
      </c>
      <c r="C9" s="6" t="inlineStr">
        <is>
          <t>Admin access is limited, approved and recorded.</t>
        </is>
      </c>
      <c r="D9" t="inlineStr">
        <is>
          <t>https://cyphrq.com/pillars/tools-protect/</t>
        </is>
      </c>
      <c r="E9" s="7" t="n"/>
    </row>
    <row r="10">
      <c r="A10" s="6" t="inlineStr">
        <is>
          <t>Protect</t>
        </is>
      </c>
      <c r="B10" s="6" t="inlineStr">
        <is>
          <t>Network access (ZTNA/NAC)</t>
        </is>
      </c>
      <c r="C10" s="6" t="inlineStr">
        <is>
          <t>Unknown devices cannot reach internal systems.</t>
        </is>
      </c>
      <c r="D10" t="inlineStr">
        <is>
          <t>https://cyphrq.com/pillars/tools-protect/</t>
        </is>
      </c>
      <c r="E10" s="7" t="n"/>
    </row>
    <row r="11">
      <c r="A11" s="6" t="inlineStr">
        <is>
          <t>Protect</t>
        </is>
      </c>
      <c r="B11" s="6" t="inlineStr">
        <is>
          <t>Email security</t>
        </is>
      </c>
      <c r="C11" s="6" t="inlineStr">
        <is>
          <t>Phishing and malicious attachments are filtered before they reach staff.</t>
        </is>
      </c>
      <c r="D11" t="inlineStr">
        <is>
          <t>https://cyphrq.com/pillars/tools-protect/</t>
        </is>
      </c>
      <c r="E11" s="7" t="n"/>
    </row>
    <row r="12">
      <c r="A12" s="6" t="inlineStr">
        <is>
          <t>Protect</t>
        </is>
      </c>
      <c r="B12" s="6" t="inlineStr">
        <is>
          <t>Data protection (encryption, DLP)</t>
        </is>
      </c>
      <c r="C12" s="6" t="inlineStr">
        <is>
          <t>Sensitive data is encrypted and bulk exports are controlled.</t>
        </is>
      </c>
      <c r="D12" t="inlineStr">
        <is>
          <t>https://cyphrq.com/pillars/tools-protect/</t>
        </is>
      </c>
      <c r="E12" s="7" t="n"/>
    </row>
    <row r="13">
      <c r="A13" s="6" t="inlineStr">
        <is>
          <t>Protect</t>
        </is>
      </c>
      <c r="B13" s="6" t="inlineStr">
        <is>
          <t>Phishing awareness training</t>
        </is>
      </c>
      <c r="C13" s="6" t="inlineStr">
        <is>
          <t>All staff are trained at least once a year.</t>
        </is>
      </c>
      <c r="D13" t="inlineStr">
        <is>
          <t>https://cyphrq.com/pillars/awareness/</t>
        </is>
      </c>
      <c r="E13" s="7" t="n"/>
    </row>
    <row r="14">
      <c r="A14" s="6" t="inlineStr">
        <is>
          <t>Detect</t>
        </is>
      </c>
      <c r="B14" s="6" t="inlineStr">
        <is>
          <t>Endpoint detection (EDR/XDR)</t>
        </is>
      </c>
      <c r="C14" s="6" t="inlineStr">
        <is>
          <t>EDR runs on every workstation and server.</t>
        </is>
      </c>
      <c r="D14" t="inlineStr">
        <is>
          <t>https://cyphrq.com/pillars/tools-detect/</t>
        </is>
      </c>
      <c r="E14" s="7" t="n"/>
    </row>
    <row r="15">
      <c r="A15" s="6" t="inlineStr">
        <is>
          <t>Detect</t>
        </is>
      </c>
      <c r="B15" s="6" t="inlineStr">
        <is>
          <t>Log monitoring (SIEM)</t>
        </is>
      </c>
      <c r="C15" s="6" t="inlineStr">
        <is>
          <t>Logs from identity, email, endpoints and cloud are collected and alerted on.</t>
        </is>
      </c>
      <c r="D15" t="inlineStr">
        <is>
          <t>https://cyphrq.com/pillars/tools-detect/</t>
        </is>
      </c>
      <c r="E15" s="7" t="n"/>
    </row>
    <row r="16">
      <c r="A16" s="6" t="inlineStr">
        <is>
          <t>Detect</t>
        </is>
      </c>
      <c r="B16" s="6" t="inlineStr">
        <is>
          <t>24x7 monitoring (MDR)</t>
        </is>
      </c>
      <c r="C16" s="6" t="inlineStr">
        <is>
          <t>Someone responds to alerts at night and at weekends.</t>
        </is>
      </c>
      <c r="D16" t="inlineStr">
        <is>
          <t>https://cyphrq.com/pillars/tools-detect/</t>
        </is>
      </c>
      <c r="E16" s="7" t="n"/>
    </row>
    <row r="17">
      <c r="A17" s="6" t="inlineStr">
        <is>
          <t>Respond</t>
        </is>
      </c>
      <c r="B17" s="6" t="inlineStr">
        <is>
          <t>Incident response plan</t>
        </is>
      </c>
      <c r="C17" s="6" t="inlineStr">
        <is>
          <t>A plan exists with named roles and was rehearsed in the last 12 months.</t>
        </is>
      </c>
      <c r="D17" t="inlineStr">
        <is>
          <t>https://cyphrq.com/pillars/tools-respond/</t>
        </is>
      </c>
      <c r="E17" s="7" t="n"/>
    </row>
    <row r="18">
      <c r="A18" s="6" t="inlineStr">
        <is>
          <t>Respond</t>
        </is>
      </c>
      <c r="B18" s="6" t="inlineStr">
        <is>
          <t>Automation and managed response (SOAR/MDR)</t>
        </is>
      </c>
      <c r="C18" s="6" t="inlineStr">
        <is>
          <t>Containment steps such as isolating a device are quick and rehearsed.</t>
        </is>
      </c>
      <c r="D18" t="inlineStr">
        <is>
          <t>https://cyphrq.com/pillars/tools-respond/</t>
        </is>
      </c>
      <c r="E18" s="7" t="n"/>
    </row>
    <row r="19">
      <c r="A19" s="6" t="inlineStr">
        <is>
          <t>Respond</t>
        </is>
      </c>
      <c r="B19" s="6" t="inlineStr">
        <is>
          <t>Malware analysis and forensics</t>
        </is>
      </c>
      <c r="C19" s="6" t="inlineStr">
        <is>
          <t>You know who will investigate and preserve evidence.</t>
        </is>
      </c>
      <c r="D19" t="inlineStr">
        <is>
          <t>https://cyphrq.com/pillars/tools-respond/</t>
        </is>
      </c>
      <c r="E19" s="7" t="n"/>
    </row>
    <row r="20">
      <c r="A20" s="6" t="inlineStr">
        <is>
          <t>Recover</t>
        </is>
      </c>
      <c r="B20" s="6" t="inlineStr">
        <is>
          <t>Immutable or offline backups</t>
        </is>
      </c>
      <c r="C20" s="6" t="inlineStr">
        <is>
          <t>Backups of critical systems cannot be changed or deleted from the main network.</t>
        </is>
      </c>
      <c r="D20" t="inlineStr">
        <is>
          <t>https://cyphrq.com/pillars/tools-respond/</t>
        </is>
      </c>
      <c r="E20" s="7" t="n"/>
    </row>
    <row r="21">
      <c r="A21" s="6" t="inlineStr">
        <is>
          <t>Recover</t>
        </is>
      </c>
      <c r="B21" s="6" t="inlineStr">
        <is>
          <t>MFA on backup access</t>
        </is>
      </c>
      <c r="C21" s="6" t="inlineStr">
        <is>
          <t>Logging in to the backup system needs MFA.</t>
        </is>
      </c>
      <c r="D21" t="inlineStr">
        <is>
          <t>https://cyphrq.com/pillars/tools-respond/</t>
        </is>
      </c>
      <c r="E21" s="7" t="n"/>
    </row>
    <row r="22">
      <c r="A22" s="6" t="inlineStr">
        <is>
          <t>Recover</t>
        </is>
      </c>
      <c r="B22" s="6" t="inlineStr">
        <is>
          <t>Restore test</t>
        </is>
      </c>
      <c r="C22" s="6" t="inlineStr">
        <is>
          <t>A full restore was tested in the last 12 months and the time was recorded.</t>
        </is>
      </c>
      <c r="D22" t="inlineStr">
        <is>
          <t>https://cyphrq.com/pillars/tools-respond/</t>
        </is>
      </c>
      <c r="E22" s="7" t="n"/>
    </row>
  </sheetData>
  <dataValidations count="1">
    <dataValidation sqref="E4:E22" showErrorMessage="1" showInputMessage="1" allowBlank="1" errorTitle="Check this entry" error="That value is not allowed here." type="list">
      <formula1>"Yes,No"</formula1>
    </dataValidation>
  </dataValidations>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60" customWidth="1" min="1" max="1"/>
    <col width="70" customWidth="1" min="2" max="2"/>
    <col width="80" customWidth="1" min="3" max="3"/>
  </cols>
  <sheetData>
    <row r="1">
      <c r="A1" s="11" t="inlineStr">
        <is>
          <t>Source</t>
        </is>
      </c>
      <c r="B1" s="11" t="inlineStr">
        <is>
          <t>Link</t>
        </is>
      </c>
      <c r="C1" s="11" t="inlineStr">
        <is>
          <t>What we use it for</t>
        </is>
      </c>
    </row>
    <row r="2">
      <c r="A2" s="6" t="inlineStr">
        <is>
          <t>Cyentia Institute, IRIS 2025</t>
        </is>
      </c>
      <c r="B2" t="inlineStr">
        <is>
          <t>https://www.cyentia.com/wp-content/uploads/2026/03/IRIS-2025.pdf</t>
        </is>
      </c>
      <c r="C2" s="6" t="inlineStr">
        <is>
          <t>Chance of an incident (Figures 6 and 8) and loss per incident by revenue (Table 1); CISA-sponsored, 2008 to 2024 loss data.</t>
        </is>
      </c>
    </row>
    <row r="3">
      <c r="A3" s="6" t="inlineStr">
        <is>
          <t>Verizon, Data Breach Investigations Report 2026</t>
        </is>
      </c>
      <c r="B3" t="inlineStr">
        <is>
          <t>https://www.verizon.com/business/resources/Te3/reports/2026-dbir-data-breach-investigations-report.pdf</t>
        </is>
      </c>
      <c r="C3" s="6" t="inlineStr">
        <is>
          <t>Ransomware in 48% of breaches (up from 44%); median ransom paid $139,875 (prior year revised to $150,000); 69% of victims did not pay.</t>
        </is>
      </c>
    </row>
    <row r="4">
      <c r="A4" s="6" t="inlineStr">
        <is>
          <t>NIST IR 8286r1, Integrating Cybersecurity and Enterprise Risk Management</t>
        </is>
      </c>
      <c r="B4" t="inlineStr">
        <is>
          <t>https://nvlpubs.nist.gov/nistpubs/ir/2025/NIST.IR.8286r1.pdf</t>
        </is>
      </c>
      <c r="C4" s="6" t="inlineStr">
        <is>
          <t>Exposure as likelihood times impact.</t>
        </is>
      </c>
    </row>
    <row r="5">
      <c r="A5" s="6" t="inlineStr">
        <is>
          <t>NIST IR 8286A Rev. 1 (December 2025), Identifying and Estimating Cybersecurity Risk for ERM</t>
        </is>
      </c>
      <c r="B5" t="inlineStr">
        <is>
          <t>https://nvlpubs.nist.gov/nistpubs/ir/2025/NIST.IR.8286Ar1.pdf</t>
        </is>
      </c>
      <c r="C5" s="6" t="inlineStr">
        <is>
          <t>Section 2.3.2.2 Three-Point Estimation: the beta-distribution average (optimistic + 4 x most likely + pessimistic) / 6. NIST describes the method; it has not validated this calculator.</t>
        </is>
      </c>
    </row>
    <row r="6">
      <c r="A6" s="6" t="inlineStr">
        <is>
          <t>Open FAIR, The Open Group</t>
        </is>
      </c>
      <c r="C6" s="6" t="inlineStr">
        <is>
          <t>Risk as loss event frequency times loss magnitude.</t>
        </is>
      </c>
    </row>
    <row r="7">
      <c r="A7" s="6" t="inlineStr">
        <is>
          <t>Tokio Marine HCC cyber application (2026)</t>
        </is>
      </c>
      <c r="B7" t="inlineStr">
        <is>
          <t>https://www.tmhcc.com/en-us/-/media/project/tokio-marine/tmhcc-us/documents/cplg_teorna-062026.pdf</t>
        </is>
      </c>
      <c r="C7" s="6" t="inlineStr">
        <is>
          <t>The control questions mirror what a cyber insurer asks.</t>
        </is>
      </c>
    </row>
    <row r="9">
      <c r="A9" s="6" t="inlineStr">
        <is>
          <t>Multipliers for each No answer, and the low case at 25% of the published median, are our assumptions. They are not validated and not insurer pricing. Base rates are averages from US-heavy data; override them with your own figures.</t>
        </is>
      </c>
    </row>
    <row r="11">
      <c r="A11" t="inlineStr">
        <is>
          <t>Estimates for planning and insurance conversations. Not insurance, legal or financial advice.</t>
        </is>
      </c>
    </row>
  </sheetData>
  <hyperlinks>
    <hyperlink xmlns:r="http://schemas.openxmlformats.org/officeDocument/2006/relationships" ref="B2" r:id="rId1"/>
    <hyperlink xmlns:r="http://schemas.openxmlformats.org/officeDocument/2006/relationships" ref="B3" r:id="rId2"/>
    <hyperlink xmlns:r="http://schemas.openxmlformats.org/officeDocument/2006/relationships" ref="B4" r:id="rId3"/>
    <hyperlink xmlns:r="http://schemas.openxmlformats.org/officeDocument/2006/relationships" ref="B5" r:id="rId4"/>
    <hyperlink xmlns:r="http://schemas.openxmlformats.org/officeDocument/2006/relationships" ref="B7" r:id="rId5"/>
  </hyperlinks>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2026-10-28T07:45:16Z</dcterms:created>
  <dcterms:modified xmlns:dcterms="http://purl.org/dc/terms/" xmlns:xsi="http://www.w3.org/2001/XMLSchema-instance" xsi:type="dcterms:W3CDTF">2026-10-28T07:45:16Z</dcterms:modified>
</cp:coreProperties>
</file>